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BF7" lockStructure="1"/>
  <bookViews>
    <workbookView xWindow="480" yWindow="30" windowWidth="15195" windowHeight="11640"/>
  </bookViews>
  <sheets>
    <sheet name="Hang-Off Worksheet" sheetId="1" r:id="rId1"/>
    <sheet name="Tubing Info" sheetId="2" state="hidden" r:id="rId2"/>
    <sheet name="Jack Cylinder Info" sheetId="3" state="hidden" r:id="rId3"/>
  </sheets>
  <definedNames>
    <definedName name="A">'Hang-Off Worksheet'!$D$31</definedName>
    <definedName name="Cc">'Hang-Off Worksheet'!$J$32</definedName>
    <definedName name="Cylinder">'Jack Cylinder Info'!$C$3:$C$15</definedName>
    <definedName name="duff">'Hang-Off Worksheet'!#REF!</definedName>
    <definedName name="E">'Hang-Off Worksheet'!$J$28</definedName>
    <definedName name="Fb">'Hang-Off Worksheet'!$J$41</definedName>
    <definedName name="Fp">'Hang-Off Worksheet'!$J$40</definedName>
    <definedName name="friction">'Hang-Off Worksheet'!$J$39</definedName>
    <definedName name="Fs">'Hang-Off Worksheet'!$J$42</definedName>
    <definedName name="Fy">'Hang-Off Worksheet'!$D$28</definedName>
    <definedName name="grade">'Tubing Info'!$G$6:$G$12</definedName>
    <definedName name="I">'Hang-Off Worksheet'!$J$29</definedName>
    <definedName name="ID">'Hang-Off Worksheet'!$D$27</definedName>
    <definedName name="K">'Hang-Off Worksheet'!$J$27</definedName>
    <definedName name="L">'Hang-Off Worksheet'!#REF!</definedName>
    <definedName name="Legs">'Jack Cylinder Info'!$E$3:$E$4</definedName>
    <definedName name="Ls">'Hang-Off Worksheet'!$D$38</definedName>
    <definedName name="OD">'Hang-Off Worksheet'!$D$26</definedName>
    <definedName name="pipe">'Tubing Info'!$A$6:$A$17</definedName>
    <definedName name="pipebig">'Tubing Info'!$A$6:$A$30</definedName>
    <definedName name="pipenew">'Tubing Info'!$A$6:$A$33</definedName>
    <definedName name="pipenew2">'Tubing Info'!$A$6:$A$44</definedName>
    <definedName name="Rad">'Hang-Off Worksheet'!#REF!</definedName>
    <definedName name="rg">'Hang-Off Worksheet'!$J$30</definedName>
    <definedName name="Rn">'Hang-Off Worksheet'!$D$30</definedName>
    <definedName name="Rod">'Jack Cylinder Info'!$B$3:$B$15</definedName>
    <definedName name="Sf">'Hang-Off Worksheet'!$J$26</definedName>
    <definedName name="Sn">'Hang-Off Worksheet'!$D$42</definedName>
    <definedName name="Sr">'Hang-Off Worksheet'!#REF!</definedName>
    <definedName name="Sw">'Hang-Off Worksheet'!$D$41</definedName>
    <definedName name="t">'Hang-Off Worksheet'!$D$29</definedName>
    <definedName name="Unit">'Jack Cylinder Info'!$A$3:$A$16</definedName>
    <definedName name="Wp">'Hang-Off Worksheet'!$D$34</definedName>
    <definedName name="Wt">'Hang-Off Worksheet'!$D$35</definedName>
    <definedName name="yes">'Tubing Info'!$K$6:$K$7</definedName>
  </definedNames>
  <calcPr calcId="145621" iterate="1" iterateCount="10000"/>
</workbook>
</file>

<file path=xl/calcChain.xml><?xml version="1.0" encoding="utf-8"?>
<calcChain xmlns="http://schemas.openxmlformats.org/spreadsheetml/2006/main">
  <c r="F13" i="1" l="1"/>
  <c r="L13" i="1" l="1"/>
  <c r="L10" i="1"/>
  <c r="F12" i="1"/>
  <c r="D16" i="1" s="1"/>
  <c r="D38" i="1" s="1"/>
  <c r="D34" i="1"/>
  <c r="D33" i="1"/>
  <c r="L7" i="1"/>
  <c r="D26" i="1"/>
  <c r="D27" i="1"/>
  <c r="D28" i="1"/>
  <c r="J32" i="1" s="1"/>
  <c r="L9" i="1"/>
  <c r="L12" i="1"/>
  <c r="J45" i="1" s="1"/>
  <c r="D45" i="1"/>
  <c r="D46" i="1"/>
  <c r="H16" i="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6" i="2"/>
  <c r="D10" i="2"/>
  <c r="D12" i="2"/>
  <c r="D13" i="2"/>
  <c r="D17" i="2"/>
  <c r="D16" i="2"/>
  <c r="D18" i="2"/>
  <c r="D44" i="2"/>
  <c r="D43" i="2"/>
  <c r="D41" i="2"/>
  <c r="D24" i="2"/>
  <c r="D25" i="2"/>
  <c r="D26" i="2"/>
  <c r="D31" i="2"/>
  <c r="D30" i="2"/>
  <c r="D29" i="2"/>
  <c r="D20" i="2"/>
  <c r="D6" i="2"/>
  <c r="D37" i="2"/>
  <c r="D34" i="2"/>
  <c r="D35" i="2"/>
  <c r="D36" i="2"/>
  <c r="D39" i="2"/>
  <c r="D40" i="2"/>
  <c r="D42" i="2"/>
  <c r="D33" i="2"/>
  <c r="D38" i="2"/>
  <c r="D23" i="2"/>
  <c r="D22" i="2"/>
  <c r="D21" i="2"/>
  <c r="D27" i="2"/>
  <c r="D7" i="2"/>
  <c r="D8" i="2"/>
  <c r="D9" i="2"/>
  <c r="D11" i="2"/>
  <c r="D32" i="1" s="1"/>
  <c r="D14" i="2"/>
  <c r="D15" i="2"/>
  <c r="D19" i="2"/>
  <c r="D28" i="2"/>
  <c r="D32" i="2"/>
  <c r="D39" i="1" l="1"/>
  <c r="D40" i="1"/>
  <c r="D29" i="1"/>
  <c r="D30" i="1" s="1"/>
  <c r="J29" i="1"/>
  <c r="D31" i="1"/>
  <c r="J34" i="1" s="1"/>
  <c r="J41" i="1"/>
  <c r="J40" i="1"/>
  <c r="D41" i="1"/>
  <c r="D35" i="1" s="1"/>
  <c r="J46" i="1" s="1"/>
  <c r="D18" i="1" s="1"/>
  <c r="H18" i="1" s="1"/>
  <c r="J30" i="1" l="1"/>
  <c r="J33" i="1" s="1"/>
  <c r="J42" i="1"/>
  <c r="D42" i="1"/>
  <c r="D19" i="1" s="1"/>
  <c r="H19" i="1" s="1"/>
  <c r="T42" i="1" l="1"/>
  <c r="S42" i="1" s="1"/>
  <c r="T28" i="1"/>
  <c r="S28" i="1" s="1"/>
  <c r="T37" i="1"/>
  <c r="S37" i="1" s="1"/>
  <c r="T46" i="1"/>
  <c r="S46" i="1" s="1"/>
  <c r="T43" i="1"/>
  <c r="S43" i="1" s="1"/>
  <c r="T30" i="1"/>
  <c r="S30" i="1" s="1"/>
  <c r="T48" i="1"/>
  <c r="S48" i="1" s="1"/>
  <c r="T45" i="1"/>
  <c r="S45" i="1" s="1"/>
  <c r="T26" i="1"/>
  <c r="S26" i="1" s="1"/>
  <c r="T31" i="1"/>
  <c r="S31" i="1" s="1"/>
  <c r="T47" i="1"/>
  <c r="S47" i="1" s="1"/>
  <c r="T44" i="1"/>
  <c r="S44" i="1" s="1"/>
  <c r="T40" i="1"/>
  <c r="S40" i="1" s="1"/>
  <c r="T39" i="1"/>
  <c r="S39" i="1" s="1"/>
  <c r="T36" i="1"/>
  <c r="S36" i="1" s="1"/>
  <c r="T50" i="1"/>
  <c r="S50" i="1" s="1"/>
  <c r="T34" i="1"/>
  <c r="S34" i="1" s="1"/>
  <c r="T33" i="1"/>
  <c r="S33" i="1" s="1"/>
  <c r="T32" i="1"/>
  <c r="S32" i="1" s="1"/>
  <c r="T38" i="1"/>
  <c r="S38" i="1" s="1"/>
  <c r="T41" i="1"/>
  <c r="S41" i="1" s="1"/>
  <c r="T27" i="1"/>
  <c r="S27" i="1" s="1"/>
  <c r="T35" i="1"/>
  <c r="S35" i="1" s="1"/>
  <c r="J35" i="1"/>
  <c r="T29" i="1"/>
  <c r="S29" i="1" s="1"/>
  <c r="T49" i="1"/>
  <c r="S49" i="1" s="1"/>
  <c r="D48" i="1"/>
  <c r="J36" i="1"/>
  <c r="D17" i="1"/>
  <c r="H17" i="1" s="1"/>
  <c r="D47" i="1"/>
  <c r="D21" i="1" s="1"/>
  <c r="H21" i="1" s="1"/>
  <c r="D20" i="1" l="1"/>
  <c r="H20" i="1" s="1"/>
</calcChain>
</file>

<file path=xl/comments1.xml><?xml version="1.0" encoding="utf-8"?>
<comments xmlns="http://schemas.openxmlformats.org/spreadsheetml/2006/main">
  <authors>
    <author>Jesse Tufts</author>
    <author>nathan.meyers</author>
  </authors>
  <commentList>
    <comment ref="J7" authorId="0">
      <text>
        <r>
          <rPr>
            <b/>
            <sz val="9"/>
            <color indexed="81"/>
            <rFont val="Tahoma"/>
            <charset val="1"/>
          </rPr>
          <t>Enter the density of the fluid in the pipe, if there is no fluid type No into the above cell, select proper units</t>
        </r>
      </text>
    </comment>
    <comment ref="J9" authorId="0">
      <text>
        <r>
          <rPr>
            <b/>
            <sz val="9"/>
            <color indexed="81"/>
            <rFont val="Tahoma"/>
            <charset val="1"/>
          </rPr>
          <t xml:space="preserve">From wellhead, if not known use 0, select proper units
</t>
        </r>
        <r>
          <rPr>
            <sz val="9"/>
            <color indexed="81"/>
            <rFont val="Tahoma"/>
            <charset val="1"/>
          </rPr>
          <t xml:space="preserve">
</t>
        </r>
      </text>
    </comment>
    <comment ref="J10" authorId="0">
      <text>
        <r>
          <rPr>
            <b/>
            <sz val="9"/>
            <color indexed="81"/>
            <rFont val="Tahoma"/>
            <charset val="1"/>
          </rPr>
          <t>Enter the density of the fluid in the wellbore, if there is no fluid type No into the above cell. Select proper units</t>
        </r>
        <r>
          <rPr>
            <sz val="9"/>
            <color indexed="81"/>
            <rFont val="Tahoma"/>
            <charset val="1"/>
          </rPr>
          <t xml:space="preserve">
</t>
        </r>
      </text>
    </comment>
    <comment ref="D11" authorId="0">
      <text>
        <r>
          <rPr>
            <b/>
            <sz val="9"/>
            <color indexed="81"/>
            <rFont val="Tahoma"/>
            <charset val="1"/>
          </rPr>
          <t>number of joints in the well at this time</t>
        </r>
      </text>
    </comment>
    <comment ref="D12" authorId="0">
      <text>
        <r>
          <rPr>
            <b/>
            <sz val="9"/>
            <color indexed="81"/>
            <rFont val="Tahoma"/>
            <charset val="1"/>
          </rPr>
          <t>Length of each section of pipe Select meters or ft</t>
        </r>
      </text>
    </comment>
    <comment ref="J12" authorId="0">
      <text>
        <r>
          <rPr>
            <b/>
            <sz val="9"/>
            <color indexed="81"/>
            <rFont val="Tahoma"/>
            <charset val="1"/>
          </rPr>
          <t xml:space="preserve">Enter Size of bottom hole assembly to find snub force for assembly. Select proper units
</t>
        </r>
        <r>
          <rPr>
            <sz val="9"/>
            <color indexed="81"/>
            <rFont val="Tahoma"/>
            <charset val="1"/>
          </rPr>
          <t xml:space="preserve">
</t>
        </r>
      </text>
    </comment>
    <comment ref="D13" authorId="0">
      <text>
        <r>
          <rPr>
            <sz val="9"/>
            <color indexed="81"/>
            <rFont val="Tahoma"/>
            <charset val="1"/>
          </rPr>
          <t xml:space="preserve">Select well pressure and proper units
</t>
        </r>
      </text>
    </comment>
    <comment ref="D17" authorId="1">
      <text>
        <r>
          <rPr>
            <b/>
            <sz val="8"/>
            <color indexed="81"/>
            <rFont val="Tahoma"/>
          </rPr>
          <t>=Force due to well pressure 
(does not account for any tool joints, obstruction forces or travelling assy weight or friction forces)</t>
        </r>
      </text>
    </comment>
    <comment ref="D19" authorId="1">
      <text>
        <r>
          <rPr>
            <b/>
            <sz val="8"/>
            <color indexed="81"/>
            <rFont val="Tahoma"/>
          </rPr>
          <t>=Total snubbing force(without friction)/tubing weight per foot (including any fluid inside)
(does not account for couplings)</t>
        </r>
      </text>
    </comment>
    <comment ref="D20" authorId="1">
      <text>
        <r>
          <rPr>
            <b/>
            <sz val="8"/>
            <color indexed="81"/>
            <rFont val="Tahoma"/>
          </rPr>
          <t>includes Safety Factor (2)</t>
        </r>
      </text>
    </comment>
    <comment ref="D21" authorId="1">
      <text>
        <r>
          <rPr>
            <b/>
            <sz val="8"/>
            <color indexed="81"/>
            <rFont val="Tahoma"/>
          </rPr>
          <t>=Total Snub Force/Total Cyl. Area (Snub) + 10%</t>
        </r>
      </text>
    </comment>
    <comment ref="J27" authorId="1">
      <text>
        <r>
          <rPr>
            <b/>
            <sz val="8"/>
            <color indexed="81"/>
            <rFont val="Tahoma"/>
          </rPr>
          <t>1.0:  Rotation free, translation fixed. (conservative number for passive rotary)
0.65: Rotation &amp; translation fixed.</t>
        </r>
      </text>
    </comment>
    <comment ref="J29" authorId="1">
      <text>
        <r>
          <rPr>
            <b/>
            <sz val="8"/>
            <color indexed="81"/>
            <rFont val="Tahoma"/>
          </rPr>
          <t>A measure of the ability of the pipe to resist bending.  The higher the #, the more resistant to bending.</t>
        </r>
      </text>
    </comment>
    <comment ref="J30" authorId="1">
      <text>
        <r>
          <rPr>
            <b/>
            <sz val="8"/>
            <color indexed="81"/>
            <rFont val="Tahoma"/>
          </rPr>
          <t>The radius at which a theoretical point mass could replace the pipe without changing the rotational inertia.</t>
        </r>
      </text>
    </comment>
    <comment ref="J33" authorId="1">
      <text>
        <r>
          <rPr>
            <b/>
            <sz val="8"/>
            <color indexed="81"/>
            <rFont val="Tahoma"/>
          </rPr>
          <t xml:space="preserve">The minimum length at which the pipe will return to its original shape if any buckling occurs. Shorter will lead to inelastic buckling
</t>
        </r>
        <r>
          <rPr>
            <sz val="8"/>
            <color indexed="81"/>
            <rFont val="Tahoma"/>
          </rPr>
          <t xml:space="preserve">
</t>
        </r>
        <r>
          <rPr>
            <b/>
            <sz val="8"/>
            <color indexed="81"/>
            <rFont val="Tahoma"/>
            <family val="2"/>
          </rPr>
          <t>KL/rg = Cc</t>
        </r>
      </text>
    </comment>
    <comment ref="J34" authorId="1">
      <text>
        <r>
          <rPr>
            <b/>
            <sz val="8"/>
            <color indexed="81"/>
            <rFont val="Tahoma"/>
          </rPr>
          <t>The critical buckling load which will cause inelastic buckling at the Stability Transition Length when
KL/rg = Cc</t>
        </r>
      </text>
    </comment>
    <comment ref="J35" authorId="1">
      <text>
        <r>
          <rPr>
            <b/>
            <sz val="8"/>
            <color indexed="81"/>
            <rFont val="Tahoma"/>
          </rPr>
          <t>includes Safety Factor (2)</t>
        </r>
      </text>
    </comment>
    <comment ref="J42" authorId="1">
      <text>
        <r>
          <rPr>
            <b/>
            <sz val="8"/>
            <color indexed="81"/>
            <rFont val="Tahoma"/>
          </rPr>
          <t>does not account for any tool joints or for any obstruction forces
Pipe Heavy if negative</t>
        </r>
      </text>
    </comment>
  </commentList>
</comments>
</file>

<file path=xl/sharedStrings.xml><?xml version="1.0" encoding="utf-8"?>
<sst xmlns="http://schemas.openxmlformats.org/spreadsheetml/2006/main" count="192" uniqueCount="160">
  <si>
    <t>Pipe Nominal OD (in)</t>
  </si>
  <si>
    <t>Pipe Nominal ID (in)</t>
  </si>
  <si>
    <t>Wall Thickness (in)</t>
  </si>
  <si>
    <t>Nominal Radius (in)</t>
  </si>
  <si>
    <t>Modulus of Elasticity (psi)</t>
  </si>
  <si>
    <t>E</t>
  </si>
  <si>
    <t>OD</t>
  </si>
  <si>
    <t>ID</t>
  </si>
  <si>
    <t>t</t>
  </si>
  <si>
    <t>Pipe Min. Yield Strength (psi)</t>
  </si>
  <si>
    <t>Fy</t>
  </si>
  <si>
    <r>
      <t>Moment of Inertia (in</t>
    </r>
    <r>
      <rPr>
        <vertAlign val="superscript"/>
        <sz val="10"/>
        <rFont val="Arial"/>
        <family val="2"/>
      </rPr>
      <t>4</t>
    </r>
    <r>
      <rPr>
        <sz val="10"/>
        <rFont val="Arial"/>
        <family val="2"/>
      </rPr>
      <t>)</t>
    </r>
  </si>
  <si>
    <t>I</t>
  </si>
  <si>
    <r>
      <t>Cross-Section Area of Pipe (in</t>
    </r>
    <r>
      <rPr>
        <vertAlign val="superscript"/>
        <sz val="10"/>
        <rFont val="Arial"/>
        <family val="2"/>
      </rPr>
      <t>2</t>
    </r>
    <r>
      <rPr>
        <sz val="10"/>
        <rFont val="Arial"/>
        <family val="2"/>
      </rPr>
      <t>)</t>
    </r>
  </si>
  <si>
    <t>A</t>
  </si>
  <si>
    <t>Radius of Gyration (in)</t>
  </si>
  <si>
    <t>rg</t>
  </si>
  <si>
    <t>Column Slenderness Ratio</t>
  </si>
  <si>
    <t>Cc</t>
  </si>
  <si>
    <t>End Constraint Factor</t>
  </si>
  <si>
    <t>K</t>
  </si>
  <si>
    <t>Rn</t>
  </si>
  <si>
    <t>1.050 EUE 1.20#</t>
  </si>
  <si>
    <t>1.315 EUE 1.80#</t>
  </si>
  <si>
    <t>1.660 EUE 2.40#</t>
  </si>
  <si>
    <t>1.900 EUE 2.90#</t>
  </si>
  <si>
    <t>2 3/8" EUE 4.70#</t>
  </si>
  <si>
    <t>2 3/8" EUE 5.95#</t>
  </si>
  <si>
    <t>2 7/8" EUE 6.50#</t>
  </si>
  <si>
    <t>2 7/8" EUE 8.70#</t>
  </si>
  <si>
    <t>3 1/2" EUE 9.30#</t>
  </si>
  <si>
    <t>3 1/2" EUE 12.95#</t>
  </si>
  <si>
    <t>4" EUE 11.00#</t>
  </si>
  <si>
    <t>4 1/2" EUE 12.75#</t>
  </si>
  <si>
    <t>Stability Transition Length (in)</t>
  </si>
  <si>
    <t>Stability Transition Critical Load (lbs)</t>
  </si>
  <si>
    <t>H-40</t>
  </si>
  <si>
    <t>J-55</t>
  </si>
  <si>
    <t>C-75</t>
  </si>
  <si>
    <t>N-80</t>
  </si>
  <si>
    <t>L-80</t>
  </si>
  <si>
    <t>P-105</t>
  </si>
  <si>
    <t>Rod</t>
  </si>
  <si>
    <t>Cyl.</t>
  </si>
  <si>
    <t>Force due to well pressure (lbs)</t>
  </si>
  <si>
    <t>snub area</t>
  </si>
  <si>
    <t>Friction Force to overcome (lbs)</t>
  </si>
  <si>
    <t>Fp</t>
  </si>
  <si>
    <t>Total Snubbing Force required (ram-ram)</t>
  </si>
  <si>
    <t>String Length @ Neutral (ft)</t>
  </si>
  <si>
    <t>weight/ft</t>
  </si>
  <si>
    <t>Safety Factor</t>
  </si>
  <si>
    <t>Safe Unsupported Pipe Length:</t>
  </si>
  <si>
    <t>Hydraulic Cylinder Pressure Setting:</t>
  </si>
  <si>
    <t>m</t>
  </si>
  <si>
    <t>MPa</t>
  </si>
  <si>
    <t>4 1/2" 9.50# T&amp;C Csg.</t>
  </si>
  <si>
    <t>4 1/2" 10.50# T&amp;C Csg.</t>
  </si>
  <si>
    <t>4 1/2" 11.60# T&amp;C Csg.</t>
  </si>
  <si>
    <t>4 1/2" 13.50# T&amp;C Csg.</t>
  </si>
  <si>
    <t>5" 11.50# T&amp;C Csg.</t>
  </si>
  <si>
    <t>5" 13.00# T&amp;C Csg.</t>
  </si>
  <si>
    <t>5" 15.00# T&amp;C Csg.</t>
  </si>
  <si>
    <t>5" 18.00# T&amp;C Csg.</t>
  </si>
  <si>
    <t>5 1/2" 14.00# T&amp;C Csg.</t>
  </si>
  <si>
    <t>5 1/2" 15.50# T&amp;C Csg.</t>
  </si>
  <si>
    <t>5 1/2" 17.00# T&amp;C Csg.</t>
  </si>
  <si>
    <t>5 1/2" 20.00# T&amp;C Csg.</t>
  </si>
  <si>
    <t>5 1/2" 23.00# T&amp;C Csg.</t>
  </si>
  <si>
    <t>daN</t>
  </si>
  <si>
    <t>COUPLING OD IS IGNORED WITHIN THIS CALCULATION</t>
  </si>
  <si>
    <t>Total Snub Force Required :</t>
  </si>
  <si>
    <t>SELECT PIPE GRADE:</t>
  </si>
  <si>
    <t>4" 11.85# Drill Pipe</t>
  </si>
  <si>
    <t>4" 14.00# Drill Pipe</t>
  </si>
  <si>
    <t>4" 15.70# Drill Pipe</t>
  </si>
  <si>
    <t>4 1/2" 13.75# Drill Pipe</t>
  </si>
  <si>
    <t>4 1/2" 16.60# Drill Pipe</t>
  </si>
  <si>
    <t>4 1/2" 20.00# Drill Pipe</t>
  </si>
  <si>
    <t>5" 16.25# Drill Pipe</t>
  </si>
  <si>
    <t>5" 19.50# Drill Pipe</t>
  </si>
  <si>
    <t>5" 25.60# Drill Pipe</t>
  </si>
  <si>
    <t>3 1/2" 9.50# Drill Pipe</t>
  </si>
  <si>
    <t>3 1/2" 13.30# Drill Pipe</t>
  </si>
  <si>
    <t>3 1/2" 15.50# Drill Pipe</t>
  </si>
  <si>
    <t>2 7/8" 6.85# Drill Pipe</t>
  </si>
  <si>
    <t>2 7/8" 10.40# Drill Pipe</t>
  </si>
  <si>
    <t>Sn</t>
  </si>
  <si>
    <t>Safe Unsupported Pipe Length: (in)</t>
  </si>
  <si>
    <t>As</t>
  </si>
  <si>
    <t>Snub area of pipe (in^2)</t>
  </si>
  <si>
    <t>Inside Area of Pipe</t>
  </si>
  <si>
    <t>Ai</t>
  </si>
  <si>
    <t>inside area</t>
  </si>
  <si>
    <t>ft</t>
  </si>
  <si>
    <t>String Length (ft)</t>
  </si>
  <si>
    <t>Ls</t>
  </si>
  <si>
    <t>String weight pipe only (lbs)</t>
  </si>
  <si>
    <t>Weight per foot</t>
  </si>
  <si>
    <t>Weight of fluid in pipe (lbs)</t>
  </si>
  <si>
    <t>String Weight total (lbs)</t>
  </si>
  <si>
    <t>Yes</t>
  </si>
  <si>
    <t>Boyancy Force (lbs)</t>
  </si>
  <si>
    <t>Weight per foot inluding fluid in pipe</t>
  </si>
  <si>
    <t>No</t>
  </si>
  <si>
    <t>Fs</t>
  </si>
  <si>
    <t>Wp</t>
  </si>
  <si>
    <t>Wt</t>
  </si>
  <si>
    <t>Fb</t>
  </si>
  <si>
    <t>Sw</t>
  </si>
  <si>
    <t>Compressive stress in pipe (psi)</t>
  </si>
  <si>
    <t>psi</t>
  </si>
  <si>
    <t>KPa</t>
  </si>
  <si>
    <t>Bar</t>
  </si>
  <si>
    <t>kg/m^3</t>
  </si>
  <si>
    <t>lbs/in^3</t>
  </si>
  <si>
    <t>lbs/USgal</t>
  </si>
  <si>
    <t>String Length @ Neutral:</t>
  </si>
  <si>
    <t>Pipe Properties</t>
  </si>
  <si>
    <t>String Properties</t>
  </si>
  <si>
    <t>Buckling</t>
  </si>
  <si>
    <t>Forces</t>
  </si>
  <si>
    <t>lbs</t>
  </si>
  <si>
    <t>in</t>
  </si>
  <si>
    <t>Length</t>
  </si>
  <si>
    <t>Buckling Load</t>
  </si>
  <si>
    <t>legs</t>
  </si>
  <si>
    <t>Cylinders</t>
  </si>
  <si>
    <t>Snubbing area (in^2)</t>
  </si>
  <si>
    <t>Pulling area (in^2)</t>
  </si>
  <si>
    <t>Hydraulic Cylinder pressure</t>
  </si>
  <si>
    <t>Heavy or Light</t>
  </si>
  <si>
    <t>mm</t>
  </si>
  <si>
    <t>Bottom Hole Assembly</t>
  </si>
  <si>
    <t>Area (in^2)</t>
  </si>
  <si>
    <t>Force (lbs)</t>
  </si>
  <si>
    <t>kg</t>
  </si>
  <si>
    <t>Total String Length:</t>
  </si>
  <si>
    <t>Snub Force for bottom hole assembly:</t>
  </si>
  <si>
    <t>YELLOW BOXES; SELECT FROM PULL DOWN LIST, UNITS IN YELLOW CAN ALSO BE CHANGED</t>
  </si>
  <si>
    <t>SELECT NUMBER OF LEGS ON JACK</t>
  </si>
  <si>
    <t>SELECT HYDRAULIC CYLINDER BORE</t>
  </si>
  <si>
    <t>SELECT HYDRAULIC CYLINDER ROD SIZE</t>
  </si>
  <si>
    <t>SELECT PIPE SIZE:</t>
  </si>
  <si>
    <t>ENTER NUMBER OF JOINTS IN WELL:</t>
  </si>
  <si>
    <t>FLUID IN PIPE? (SELECT YES OR NO):</t>
  </si>
  <si>
    <t>ENTER PIPE FLUID DENSITY:</t>
  </si>
  <si>
    <t>FLUID IN WELLBORE? (SELECT YES OR NO):</t>
  </si>
  <si>
    <t xml:space="preserve">ENTER DISTANCE TO TOP OF FLUID LEVEL: </t>
  </si>
  <si>
    <t xml:space="preserve">ENTER WELLBORE FLUID DENSITY: </t>
  </si>
  <si>
    <t>ENTER BOTTOM HOLE ASSEMBLY DIAMETER:</t>
  </si>
  <si>
    <t>ENTER BOTTOM HOLE ASSEMBLY WEIGHT:</t>
  </si>
  <si>
    <t>BLUE BOXES; TYPE NUMBERS IN DIRECTLY</t>
  </si>
  <si>
    <t>ENTER DATA HERE</t>
  </si>
  <si>
    <t>CALCULATED VALUES</t>
  </si>
  <si>
    <t xml:space="preserve">**No hydraulic fluid friction forces or self-weight of the jack components are included in this value.  Add calculater cylinded pressure to the hydraulic pressure required to stroke the jack with zero load. If Total Snub force shown is negative, the hydraulic pressure shown is what is required to lift it the string. </t>
  </si>
  <si>
    <t>P-110</t>
  </si>
  <si>
    <t>ENTER PIPE JOINT LENGTH:</t>
  </si>
  <si>
    <t>ENTER WELL PRESSURE:</t>
  </si>
  <si>
    <t>Snubco Pressure Control Ltd. and Snubco Pressure Control International Ltd. make no warranty, express or implied, including the warranties of merchantability and fitness for a particular purpose, or assume any legal liability or responsibility for the accuracy, completeness, or usefulness of any information disclosed.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</si>
</sst>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1" x14ac:knownFonts="1">
    <font>
      <sz val="10"/>
      <name val="Arial"/>
    </font>
    <font>
      <vertAlign val="superscript"/>
      <sz val="10"/>
      <name val="Arial"/>
      <family val="2"/>
    </font>
    <font>
      <sz val="10"/>
      <name val="Arial"/>
      <family val="2"/>
    </font>
    <font>
      <sz val="8"/>
      <name val="Arial"/>
    </font>
    <font>
      <b/>
      <i/>
      <sz val="10"/>
      <name val="Arial"/>
      <family val="2"/>
    </font>
    <font>
      <b/>
      <sz val="12"/>
      <name val="Arial"/>
      <family val="2"/>
    </font>
    <font>
      <sz val="8"/>
      <color indexed="81"/>
      <name val="Tahoma"/>
    </font>
    <font>
      <b/>
      <sz val="8"/>
      <color indexed="81"/>
      <name val="Tahoma"/>
    </font>
    <font>
      <b/>
      <i/>
      <sz val="12"/>
      <name val="Arial"/>
      <family val="2"/>
    </font>
    <font>
      <sz val="9"/>
      <name val="Arial"/>
      <family val="2"/>
    </font>
    <font>
      <b/>
      <sz val="10"/>
      <name val="Arial"/>
      <family val="2"/>
    </font>
    <font>
      <sz val="9"/>
      <color indexed="81"/>
      <name val="Tahoma"/>
      <charset val="1"/>
    </font>
    <font>
      <b/>
      <sz val="9"/>
      <color indexed="81"/>
      <name val="Tahoma"/>
      <charset val="1"/>
    </font>
    <font>
      <b/>
      <sz val="10"/>
      <name val="Arial"/>
    </font>
    <font>
      <sz val="12"/>
      <name val="Arial"/>
      <family val="2"/>
    </font>
    <font>
      <b/>
      <sz val="11"/>
      <name val="Arial"/>
      <family val="2"/>
    </font>
    <font>
      <b/>
      <i/>
      <sz val="11"/>
      <name val="Arial"/>
      <family val="2"/>
    </font>
    <font>
      <sz val="11"/>
      <name val="Arial"/>
      <family val="2"/>
    </font>
    <font>
      <b/>
      <sz val="8"/>
      <color indexed="81"/>
      <name val="Tahoma"/>
      <family val="2"/>
    </font>
    <font>
      <sz val="14"/>
      <name val="Arial"/>
      <family val="2"/>
    </font>
    <font>
      <i/>
      <sz val="14"/>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1" fontId="0" fillId="0" borderId="0" xfId="0" applyNumberFormat="1"/>
    <xf numFmtId="12" fontId="0" fillId="0" borderId="0" xfId="0" applyNumberFormat="1"/>
    <xf numFmtId="0" fontId="0" fillId="0" borderId="0" xfId="0" applyFill="1" applyBorder="1"/>
    <xf numFmtId="0" fontId="0" fillId="0" borderId="0" xfId="0" applyFill="1" applyBorder="1" applyAlignment="1">
      <alignment horizontal="center"/>
    </xf>
    <xf numFmtId="0" fontId="0" fillId="0" borderId="0" xfId="0" applyBorder="1"/>
    <xf numFmtId="0" fontId="8" fillId="0" borderId="0" xfId="0" applyFont="1" applyBorder="1"/>
    <xf numFmtId="0" fontId="0" fillId="0" borderId="0" xfId="0" applyFill="1" applyBorder="1" applyAlignment="1"/>
    <xf numFmtId="0" fontId="9" fillId="0" borderId="0" xfId="0" applyFont="1" applyAlignment="1">
      <alignment wrapText="1"/>
    </xf>
    <xf numFmtId="0" fontId="8" fillId="0" borderId="0" xfId="0" applyFont="1"/>
    <xf numFmtId="0" fontId="13" fillId="0" borderId="0" xfId="0" applyFont="1"/>
    <xf numFmtId="0" fontId="4" fillId="0" borderId="0"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4" fillId="0" borderId="0" xfId="0" applyFont="1" applyBorder="1"/>
    <xf numFmtId="0" fontId="0" fillId="0" borderId="1" xfId="0" applyBorder="1"/>
    <xf numFmtId="0" fontId="0" fillId="0" borderId="1" xfId="0" applyFill="1" applyBorder="1" applyAlignment="1"/>
    <xf numFmtId="164" fontId="0" fillId="0" borderId="1" xfId="0" applyNumberFormat="1" applyBorder="1"/>
    <xf numFmtId="0" fontId="0" fillId="0" borderId="1" xfId="0" applyFill="1" applyBorder="1"/>
    <xf numFmtId="0" fontId="0" fillId="2" borderId="1" xfId="0" applyFill="1" applyBorder="1"/>
    <xf numFmtId="11" fontId="0" fillId="2" borderId="1" xfId="0" applyNumberFormat="1" applyFill="1" applyBorder="1"/>
    <xf numFmtId="165" fontId="0" fillId="0" borderId="1" xfId="0" applyNumberFormat="1" applyBorder="1"/>
    <xf numFmtId="1" fontId="2" fillId="0" borderId="1" xfId="0" applyNumberFormat="1" applyFont="1" applyFill="1" applyBorder="1"/>
    <xf numFmtId="0" fontId="2" fillId="0" borderId="1" xfId="0" applyFont="1" applyBorder="1" applyAlignment="1">
      <alignment horizontal="left"/>
    </xf>
    <xf numFmtId="0" fontId="2" fillId="0" borderId="1" xfId="0" applyFont="1" applyBorder="1"/>
    <xf numFmtId="1" fontId="2" fillId="0" borderId="1" xfId="0" applyNumberFormat="1" applyFont="1" applyBorder="1" applyProtection="1">
      <protection hidden="1"/>
    </xf>
    <xf numFmtId="1" fontId="0" fillId="0" borderId="1" xfId="0" applyNumberFormat="1" applyFill="1" applyBorder="1" applyAlignment="1">
      <alignment horizontal="right"/>
    </xf>
    <xf numFmtId="165" fontId="0" fillId="0" borderId="1" xfId="0" applyNumberFormat="1" applyFill="1" applyBorder="1" applyAlignment="1"/>
    <xf numFmtId="1" fontId="0" fillId="0" borderId="1" xfId="0" applyNumberFormat="1" applyBorder="1"/>
    <xf numFmtId="0" fontId="0" fillId="0" borderId="0" xfId="0" applyFill="1"/>
    <xf numFmtId="0" fontId="5" fillId="0" borderId="1" xfId="0" applyFont="1" applyFill="1" applyBorder="1"/>
    <xf numFmtId="165" fontId="5" fillId="0" borderId="1" xfId="0" applyNumberFormat="1" applyFont="1" applyFill="1" applyBorder="1"/>
    <xf numFmtId="0" fontId="5" fillId="0" borderId="1" xfId="0" applyFont="1" applyBorder="1"/>
    <xf numFmtId="1" fontId="5" fillId="0" borderId="1" xfId="0" applyNumberFormat="1" applyFont="1" applyBorder="1" applyProtection="1">
      <protection hidden="1"/>
    </xf>
    <xf numFmtId="0" fontId="5" fillId="0" borderId="1" xfId="0" applyFont="1" applyFill="1" applyBorder="1" applyAlignment="1">
      <alignment horizontal="left"/>
    </xf>
    <xf numFmtId="165" fontId="5" fillId="0" borderId="1" xfId="0" applyNumberFormat="1" applyFont="1" applyBorder="1" applyProtection="1">
      <protection hidden="1"/>
    </xf>
    <xf numFmtId="164" fontId="5" fillId="0" borderId="1" xfId="0" applyNumberFormat="1" applyFont="1" applyFill="1" applyBorder="1" applyProtection="1">
      <protection hidden="1"/>
    </xf>
    <xf numFmtId="0" fontId="4" fillId="0" borderId="0" xfId="0" applyFont="1"/>
    <xf numFmtId="1" fontId="5" fillId="0" borderId="1" xfId="0" applyNumberFormat="1" applyFont="1" applyBorder="1"/>
    <xf numFmtId="0" fontId="5" fillId="0" borderId="0" xfId="0" applyFont="1"/>
    <xf numFmtId="0" fontId="0" fillId="0" borderId="1" xfId="0" applyBorder="1" applyProtection="1">
      <protection hidden="1"/>
    </xf>
    <xf numFmtId="1" fontId="0" fillId="0" borderId="1" xfId="0" applyNumberFormat="1" applyBorder="1" applyProtection="1">
      <protection hidden="1"/>
    </xf>
    <xf numFmtId="0" fontId="8" fillId="0" borderId="0" xfId="0" applyFont="1" applyBorder="1" applyAlignment="1">
      <alignment horizontal="center"/>
    </xf>
    <xf numFmtId="0" fontId="14" fillId="0" borderId="1" xfId="0" applyFont="1" applyBorder="1"/>
    <xf numFmtId="0" fontId="15" fillId="0" borderId="1" xfId="0" applyFont="1" applyFill="1" applyBorder="1" applyAlignment="1">
      <alignment horizontal="right"/>
    </xf>
    <xf numFmtId="0" fontId="16" fillId="0" borderId="1" xfId="0" applyFont="1" applyFill="1" applyBorder="1"/>
    <xf numFmtId="0" fontId="17" fillId="0" borderId="1" xfId="0" applyFont="1" applyBorder="1"/>
    <xf numFmtId="0" fontId="15" fillId="0" borderId="1" xfId="0" applyFont="1" applyBorder="1" applyAlignment="1">
      <alignment horizontal="right"/>
    </xf>
    <xf numFmtId="0" fontId="16" fillId="0" borderId="1" xfId="0" applyFont="1" applyBorder="1"/>
    <xf numFmtId="0" fontId="16" fillId="0" borderId="1" xfId="0" applyFont="1" applyFill="1" applyBorder="1" applyAlignment="1" applyProtection="1">
      <alignment horizontal="left"/>
      <protection locked="0"/>
    </xf>
    <xf numFmtId="0" fontId="15" fillId="0" borderId="1" xfId="0" applyFont="1" applyBorder="1"/>
    <xf numFmtId="0" fontId="15" fillId="0" borderId="1" xfId="0" applyFont="1" applyFill="1" applyBorder="1"/>
    <xf numFmtId="0" fontId="15" fillId="2" borderId="1" xfId="0" applyFont="1" applyFill="1" applyBorder="1" applyAlignment="1" applyProtection="1">
      <protection locked="0"/>
    </xf>
    <xf numFmtId="0" fontId="15" fillId="0" borderId="3" xfId="0" applyFont="1" applyFill="1" applyBorder="1" applyAlignment="1" applyProtection="1">
      <protection locked="0"/>
    </xf>
    <xf numFmtId="0" fontId="15" fillId="3" borderId="1" xfId="0" applyFont="1" applyFill="1" applyBorder="1" applyAlignment="1" applyProtection="1">
      <alignment horizontal="right"/>
      <protection locked="0"/>
    </xf>
    <xf numFmtId="0" fontId="15" fillId="0" borderId="0" xfId="0" applyFont="1" applyBorder="1" applyAlignment="1">
      <alignment horizontal="right"/>
    </xf>
    <xf numFmtId="0" fontId="16" fillId="0" borderId="0" xfId="0" applyFont="1" applyBorder="1"/>
    <xf numFmtId="0" fontId="16" fillId="0" borderId="0" xfId="0" applyFont="1" applyFill="1" applyBorder="1"/>
    <xf numFmtId="0" fontId="15" fillId="0" borderId="0" xfId="0" applyFont="1" applyBorder="1"/>
    <xf numFmtId="0" fontId="15" fillId="0" borderId="0" xfId="0" applyFont="1" applyFill="1" applyBorder="1" applyAlignment="1" applyProtection="1">
      <alignment horizontal="right"/>
      <protection locked="0"/>
    </xf>
    <xf numFmtId="0" fontId="1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vertical="top"/>
    </xf>
    <xf numFmtId="2" fontId="5" fillId="0" borderId="1" xfId="0" applyNumberFormat="1" applyFont="1" applyBorder="1" applyAlignment="1" applyProtection="1">
      <alignment horizontal="right"/>
      <protection hidden="1"/>
    </xf>
    <xf numFmtId="1" fontId="5" fillId="0" borderId="1" xfId="0" applyNumberFormat="1" applyFont="1" applyBorder="1" applyAlignment="1" applyProtection="1">
      <alignment horizontal="right"/>
      <protection hidden="1"/>
    </xf>
    <xf numFmtId="0" fontId="17" fillId="0" borderId="0" xfId="0" applyFont="1"/>
    <xf numFmtId="0" fontId="15" fillId="0" borderId="0" xfId="0" applyFont="1" applyBorder="1" applyAlignment="1">
      <alignment horizontal="left" vertical="top"/>
    </xf>
    <xf numFmtId="0" fontId="15" fillId="0" borderId="0" xfId="0" applyFont="1" applyBorder="1" applyAlignment="1">
      <alignment horizontal="center"/>
    </xf>
    <xf numFmtId="0" fontId="19" fillId="0" borderId="0" xfId="0" applyFont="1"/>
    <xf numFmtId="0" fontId="15" fillId="2" borderId="1" xfId="0" applyFont="1" applyFill="1" applyBorder="1" applyProtection="1">
      <protection locked="0"/>
    </xf>
    <xf numFmtId="0" fontId="15" fillId="3" borderId="1" xfId="0" applyFont="1" applyFill="1" applyBorder="1" applyProtection="1">
      <protection locked="0"/>
    </xf>
    <xf numFmtId="0" fontId="15"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1" fontId="10" fillId="0" borderId="0" xfId="0" applyNumberFormat="1" applyFont="1" applyBorder="1" applyAlignment="1">
      <alignment horizontal="center" wrapText="1"/>
    </xf>
    <xf numFmtId="0" fontId="20"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0055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CA"/>
              <a:t>Critical Buckling Load vs Unsupported Length</a:t>
            </a:r>
          </a:p>
        </c:rich>
      </c:tx>
      <c:layout>
        <c:manualLayout>
          <c:xMode val="edge"/>
          <c:yMode val="edge"/>
          <c:x val="0.31250012071831451"/>
          <c:y val="2.8764852945307451E-2"/>
        </c:manualLayout>
      </c:layout>
      <c:overlay val="0"/>
      <c:spPr>
        <a:noFill/>
        <a:ln w="25400">
          <a:noFill/>
        </a:ln>
      </c:spPr>
    </c:title>
    <c:autoTitleDeleted val="0"/>
    <c:plotArea>
      <c:layout>
        <c:manualLayout>
          <c:layoutTarget val="inner"/>
          <c:xMode val="edge"/>
          <c:yMode val="edge"/>
          <c:x val="0.11155067600324646"/>
          <c:y val="8.7986609009175737E-2"/>
          <c:w val="0.86867122164230215"/>
          <c:h val="0.7732669291767944"/>
        </c:manualLayout>
      </c:layout>
      <c:scatterChart>
        <c:scatterStyle val="smoothMarker"/>
        <c:varyColors val="0"/>
        <c:ser>
          <c:idx val="1"/>
          <c:order val="0"/>
          <c:tx>
            <c:v>Critical buckling Load</c:v>
          </c:tx>
          <c:spPr>
            <a:ln w="12700">
              <a:solidFill>
                <a:srgbClr val="FF00FF"/>
              </a:solidFill>
              <a:prstDash val="solid"/>
            </a:ln>
          </c:spPr>
          <c:marker>
            <c:symbol val="square"/>
            <c:size val="5"/>
            <c:spPr>
              <a:solidFill>
                <a:srgbClr val="FF00FF"/>
              </a:solidFill>
              <a:ln>
                <a:solidFill>
                  <a:srgbClr val="FF00FF"/>
                </a:solidFill>
                <a:prstDash val="solid"/>
              </a:ln>
            </c:spPr>
          </c:marker>
          <c:xVal>
            <c:numRef>
              <c:f>'Hang-Off Worksheet'!$R$26:$R$50</c:f>
              <c:numCache>
                <c:formatCode>General</c:formatCode>
                <c:ptCount val="25"/>
                <c:pt idx="0">
                  <c:v>0</c:v>
                </c:pt>
                <c:pt idx="1">
                  <c:v>6</c:v>
                </c:pt>
                <c:pt idx="2">
                  <c:v>12</c:v>
                </c:pt>
                <c:pt idx="3">
                  <c:v>18</c:v>
                </c:pt>
                <c:pt idx="4">
                  <c:v>24</c:v>
                </c:pt>
                <c:pt idx="5">
                  <c:v>30</c:v>
                </c:pt>
                <c:pt idx="6">
                  <c:v>36</c:v>
                </c:pt>
                <c:pt idx="7">
                  <c:v>42</c:v>
                </c:pt>
                <c:pt idx="8">
                  <c:v>48</c:v>
                </c:pt>
                <c:pt idx="9">
                  <c:v>54</c:v>
                </c:pt>
                <c:pt idx="10">
                  <c:v>60</c:v>
                </c:pt>
                <c:pt idx="11">
                  <c:v>66</c:v>
                </c:pt>
                <c:pt idx="12">
                  <c:v>72</c:v>
                </c:pt>
                <c:pt idx="13">
                  <c:v>78</c:v>
                </c:pt>
                <c:pt idx="14">
                  <c:v>84</c:v>
                </c:pt>
                <c:pt idx="15">
                  <c:v>90</c:v>
                </c:pt>
                <c:pt idx="16">
                  <c:v>96</c:v>
                </c:pt>
                <c:pt idx="17">
                  <c:v>102</c:v>
                </c:pt>
                <c:pt idx="18">
                  <c:v>108</c:v>
                </c:pt>
                <c:pt idx="19">
                  <c:v>114</c:v>
                </c:pt>
                <c:pt idx="20">
                  <c:v>120</c:v>
                </c:pt>
                <c:pt idx="21">
                  <c:v>126</c:v>
                </c:pt>
                <c:pt idx="22">
                  <c:v>132</c:v>
                </c:pt>
                <c:pt idx="23">
                  <c:v>138</c:v>
                </c:pt>
                <c:pt idx="24">
                  <c:v>144</c:v>
                </c:pt>
              </c:numCache>
            </c:numRef>
          </c:xVal>
          <c:yVal>
            <c:numRef>
              <c:f>'Hang-Off Worksheet'!$S$26:$S$50</c:f>
              <c:numCache>
                <c:formatCode>0</c:formatCode>
                <c:ptCount val="25"/>
                <c:pt idx="0">
                  <c:v>176130.69558741243</c:v>
                </c:pt>
                <c:pt idx="1">
                  <c:v>176130.69558741243</c:v>
                </c:pt>
                <c:pt idx="2">
                  <c:v>173596.04827505437</c:v>
                </c:pt>
                <c:pt idx="3">
                  <c:v>168452.74418499786</c:v>
                </c:pt>
                <c:pt idx="4">
                  <c:v>161252.11845891876</c:v>
                </c:pt>
                <c:pt idx="5">
                  <c:v>151994.17109681704</c:v>
                </c:pt>
                <c:pt idx="6">
                  <c:v>140678.90209869272</c:v>
                </c:pt>
                <c:pt idx="7">
                  <c:v>127306.31146454578</c:v>
                </c:pt>
                <c:pt idx="8">
                  <c:v>111876.39919437625</c:v>
                </c:pt>
                <c:pt idx="9">
                  <c:v>94389.165288184144</c:v>
                </c:pt>
                <c:pt idx="10">
                  <c:v>76694.322363387764</c:v>
                </c:pt>
                <c:pt idx="11">
                  <c:v>63383.737490403124</c:v>
                </c:pt>
                <c:pt idx="12">
                  <c:v>53259.946085685944</c:v>
                </c:pt>
                <c:pt idx="13">
                  <c:v>45381.255836324126</c:v>
                </c:pt>
                <c:pt idx="14">
                  <c:v>39129.756307850897</c:v>
                </c:pt>
                <c:pt idx="15">
                  <c:v>34086.36549483901</c:v>
                </c:pt>
                <c:pt idx="16">
                  <c:v>29958.719673198346</c:v>
                </c:pt>
                <c:pt idx="17">
                  <c:v>26537.827807400616</c:v>
                </c:pt>
                <c:pt idx="18">
                  <c:v>23671.087149193761</c:v>
                </c:pt>
                <c:pt idx="19">
                  <c:v>21244.964643597723</c:v>
                </c:pt>
                <c:pt idx="20">
                  <c:v>19173.580590846941</c:v>
                </c:pt>
                <c:pt idx="21">
                  <c:v>17391.002803489289</c:v>
                </c:pt>
                <c:pt idx="22">
                  <c:v>15845.934372600781</c:v>
                </c:pt>
                <c:pt idx="23">
                  <c:v>14497.981543173495</c:v>
                </c:pt>
                <c:pt idx="24">
                  <c:v>13314.986521421486</c:v>
                </c:pt>
              </c:numCache>
            </c:numRef>
          </c:yVal>
          <c:smooth val="1"/>
        </c:ser>
        <c:ser>
          <c:idx val="0"/>
          <c:order val="1"/>
          <c:tx>
            <c:v>Operating Point</c:v>
          </c:tx>
          <c:spPr>
            <a:ln w="12700">
              <a:solidFill>
                <a:srgbClr val="000080"/>
              </a:solidFill>
              <a:prstDash val="solid"/>
            </a:ln>
          </c:spPr>
          <c:marker>
            <c:symbol val="diamond"/>
            <c:size val="5"/>
            <c:spPr>
              <a:solidFill>
                <a:srgbClr val="000080"/>
              </a:solidFill>
              <a:ln>
                <a:solidFill>
                  <a:srgbClr val="000080"/>
                </a:solidFill>
                <a:prstDash val="solid"/>
              </a:ln>
            </c:spPr>
          </c:marker>
          <c:xVal>
            <c:numRef>
              <c:f>'Hang-Off Worksheet'!$D$20</c:f>
              <c:numCache>
                <c:formatCode>0</c:formatCode>
                <c:ptCount val="1"/>
                <c:pt idx="0">
                  <c:v>89.157572205496251</c:v>
                </c:pt>
              </c:numCache>
            </c:numRef>
          </c:xVal>
          <c:yVal>
            <c:numRef>
              <c:f>'Hang-Off Worksheet'!$J$42</c:f>
              <c:numCache>
                <c:formatCode>0</c:formatCode>
                <c:ptCount val="1"/>
                <c:pt idx="0">
                  <c:v>17380.047614000534</c:v>
                </c:pt>
              </c:numCache>
            </c:numRef>
          </c:yVal>
          <c:smooth val="1"/>
        </c:ser>
        <c:dLbls>
          <c:showLegendKey val="0"/>
          <c:showVal val="0"/>
          <c:showCatName val="0"/>
          <c:showSerName val="0"/>
          <c:showPercent val="0"/>
          <c:showBubbleSize val="0"/>
        </c:dLbls>
        <c:axId val="73042176"/>
        <c:axId val="73042752"/>
      </c:scatterChart>
      <c:valAx>
        <c:axId val="730421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CA"/>
                  <a:t>Unsupported Length (inches)</a:t>
                </a:r>
              </a:p>
            </c:rich>
          </c:tx>
          <c:layout>
            <c:manualLayout>
              <c:xMode val="edge"/>
              <c:yMode val="edge"/>
              <c:x val="0.42721535490605023"/>
              <c:y val="0.930627595289358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3042752"/>
        <c:crosses val="autoZero"/>
        <c:crossBetween val="midCat"/>
        <c:majorUnit val="10"/>
      </c:valAx>
      <c:valAx>
        <c:axId val="73042752"/>
        <c:scaling>
          <c:orientation val="minMax"/>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CA"/>
                  <a:t>Critical Buckling Load (lbs)</a:t>
                </a:r>
              </a:p>
            </c:rich>
          </c:tx>
          <c:layout>
            <c:manualLayout>
              <c:xMode val="edge"/>
              <c:yMode val="edge"/>
              <c:x val="9.4936745534677826E-3"/>
              <c:y val="0.2402711246019798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3042176"/>
        <c:crosses val="autoZero"/>
        <c:crossBetween val="midCat"/>
      </c:valAx>
      <c:spPr>
        <a:noFill/>
        <a:ln w="12700">
          <a:solidFill>
            <a:srgbClr val="808080"/>
          </a:solidFill>
          <a:prstDash val="solid"/>
        </a:ln>
      </c:spPr>
    </c:plotArea>
    <c:legend>
      <c:legendPos val="r"/>
      <c:layout>
        <c:manualLayout>
          <c:xMode val="edge"/>
          <c:yMode val="edge"/>
          <c:x val="0.65031670691254317"/>
          <c:y val="0.10321506056845615"/>
          <c:w val="0.19699374698445651"/>
          <c:h val="7.7834307969655459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3"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133350</xdr:colOff>
      <xdr:row>22</xdr:row>
      <xdr:rowOff>95251</xdr:rowOff>
    </xdr:from>
    <xdr:to>
      <xdr:col>20</xdr:col>
      <xdr:colOff>582083</xdr:colOff>
      <xdr:row>51</xdr:row>
      <xdr:rowOff>116417</xdr:rowOff>
    </xdr:to>
    <xdr:graphicFrame macro="">
      <xdr:nvGraphicFramePr>
        <xdr:cNvPr id="1167" name="Chart 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U167"/>
  <sheetViews>
    <sheetView tabSelected="1" view="pageLayout" zoomScale="80" zoomScaleNormal="100" zoomScalePageLayoutView="80" workbookViewId="0">
      <selection activeCell="D10" sqref="D10:E10"/>
    </sheetView>
  </sheetViews>
  <sheetFormatPr defaultRowHeight="12.75" x14ac:dyDescent="0.2"/>
  <cols>
    <col min="1" max="1" width="9.140625" style="5"/>
    <col min="2" max="2" width="46.140625" style="5" customWidth="1"/>
    <col min="3" max="3" width="3.7109375" bestFit="1" customWidth="1"/>
    <col min="4" max="4" width="13.7109375" customWidth="1"/>
    <col min="5" max="5" width="12.140625" customWidth="1"/>
    <col min="6" max="6" width="16.42578125" hidden="1" customWidth="1"/>
    <col min="7" max="7" width="10.5703125" hidden="1" customWidth="1"/>
    <col min="8" max="8" width="51.28515625" bestFit="1" customWidth="1"/>
    <col min="9" max="9" width="3.85546875" bestFit="1" customWidth="1"/>
    <col min="10" max="10" width="8.7109375" customWidth="1"/>
    <col min="11" max="11" width="9.28515625" customWidth="1"/>
    <col min="12" max="12" width="16.42578125" hidden="1" customWidth="1"/>
    <col min="13" max="13" width="10.5703125" hidden="1" customWidth="1"/>
    <col min="14" max="14" width="10.7109375" hidden="1" customWidth="1"/>
    <col min="15" max="17" width="9.140625" hidden="1" customWidth="1"/>
    <col min="18" max="20" width="9.140625" customWidth="1"/>
  </cols>
  <sheetData>
    <row r="1" spans="1:13" s="65" customFormat="1" ht="15" x14ac:dyDescent="0.25">
      <c r="B1" s="66" t="s">
        <v>70</v>
      </c>
      <c r="D1" s="67"/>
      <c r="E1" s="67"/>
      <c r="F1" s="67"/>
      <c r="G1" s="67"/>
      <c r="H1" s="67"/>
      <c r="I1" s="67"/>
      <c r="J1" s="67"/>
    </row>
    <row r="2" spans="1:13" s="65" customFormat="1" ht="15" x14ac:dyDescent="0.25">
      <c r="B2" s="66" t="s">
        <v>139</v>
      </c>
      <c r="C2" s="67"/>
      <c r="D2" s="67"/>
      <c r="E2" s="67"/>
      <c r="F2" s="67"/>
      <c r="G2" s="67"/>
      <c r="H2" s="67"/>
      <c r="I2" s="67"/>
      <c r="J2" s="67"/>
    </row>
    <row r="3" spans="1:13" s="65" customFormat="1" ht="15" x14ac:dyDescent="0.25">
      <c r="B3" s="66" t="s">
        <v>152</v>
      </c>
      <c r="C3" s="67"/>
      <c r="H3" s="66"/>
      <c r="I3" s="67"/>
      <c r="J3" s="67"/>
      <c r="K3" s="67"/>
      <c r="L3" s="67"/>
    </row>
    <row r="4" spans="1:13" ht="6" customHeight="1" x14ac:dyDescent="0.2">
      <c r="A4"/>
      <c r="C4" s="42"/>
      <c r="D4" s="42"/>
      <c r="E4" s="42"/>
      <c r="F4" s="42"/>
      <c r="G4" s="42"/>
      <c r="H4" s="42"/>
      <c r="I4" s="11"/>
      <c r="J4" s="11"/>
    </row>
    <row r="5" spans="1:13" ht="18" customHeight="1" x14ac:dyDescent="0.2">
      <c r="A5"/>
      <c r="B5" s="62" t="s">
        <v>153</v>
      </c>
      <c r="C5" s="11"/>
      <c r="D5" s="11"/>
      <c r="E5" s="11"/>
      <c r="F5" s="11"/>
      <c r="G5" s="11"/>
      <c r="H5" s="11"/>
      <c r="I5" s="11"/>
      <c r="J5" s="11"/>
    </row>
    <row r="6" spans="1:13" ht="18" customHeight="1" x14ac:dyDescent="0.25">
      <c r="A6"/>
      <c r="B6" s="44" t="s">
        <v>140</v>
      </c>
      <c r="C6" s="45"/>
      <c r="D6" s="73">
        <v>2</v>
      </c>
      <c r="E6" s="74"/>
      <c r="F6" s="50"/>
      <c r="G6" s="50"/>
      <c r="H6" s="44" t="s">
        <v>145</v>
      </c>
      <c r="I6" s="50"/>
      <c r="J6" s="73" t="s">
        <v>101</v>
      </c>
      <c r="K6" s="74"/>
      <c r="L6" s="9"/>
      <c r="M6" s="9"/>
    </row>
    <row r="7" spans="1:13" ht="18" customHeight="1" x14ac:dyDescent="0.25">
      <c r="A7"/>
      <c r="B7" s="44" t="s">
        <v>141</v>
      </c>
      <c r="C7" s="45"/>
      <c r="D7" s="52">
        <v>6</v>
      </c>
      <c r="E7" s="53" t="s">
        <v>123</v>
      </c>
      <c r="F7" s="50"/>
      <c r="G7" s="50"/>
      <c r="H7" s="44" t="s">
        <v>146</v>
      </c>
      <c r="I7" s="45"/>
      <c r="J7" s="70">
        <v>800</v>
      </c>
      <c r="K7" s="69" t="s">
        <v>114</v>
      </c>
      <c r="L7" s="9">
        <f>IF(K7=P26,J7/27679.9,J7/231)</f>
        <v>2.8901838518202737E-2</v>
      </c>
      <c r="M7" s="9" t="s">
        <v>115</v>
      </c>
    </row>
    <row r="8" spans="1:13" ht="18" customHeight="1" x14ac:dyDescent="0.25">
      <c r="A8"/>
      <c r="B8" s="44" t="s">
        <v>142</v>
      </c>
      <c r="C8" s="45"/>
      <c r="D8" s="52">
        <v>2.5</v>
      </c>
      <c r="E8" s="53" t="s">
        <v>123</v>
      </c>
      <c r="F8" s="50"/>
      <c r="G8" s="50"/>
      <c r="H8" s="47" t="s">
        <v>147</v>
      </c>
      <c r="I8" s="50"/>
      <c r="J8" s="73" t="s">
        <v>101</v>
      </c>
      <c r="K8" s="74"/>
      <c r="L8" s="9"/>
      <c r="M8" s="9"/>
    </row>
    <row r="9" spans="1:13" ht="18" customHeight="1" x14ac:dyDescent="0.25">
      <c r="A9"/>
      <c r="B9" s="47" t="s">
        <v>143</v>
      </c>
      <c r="C9" s="48"/>
      <c r="D9" s="73" t="s">
        <v>27</v>
      </c>
      <c r="E9" s="74"/>
      <c r="F9" s="50"/>
      <c r="G9" s="50"/>
      <c r="H9" s="47" t="s">
        <v>148</v>
      </c>
      <c r="I9" s="50"/>
      <c r="J9" s="70">
        <v>0</v>
      </c>
      <c r="K9" s="69" t="s">
        <v>54</v>
      </c>
      <c r="L9" s="9">
        <f>IF(K9="m",J9*3.28084,J9)</f>
        <v>0</v>
      </c>
      <c r="M9" s="6" t="s">
        <v>94</v>
      </c>
    </row>
    <row r="10" spans="1:13" ht="18" customHeight="1" x14ac:dyDescent="0.25">
      <c r="A10"/>
      <c r="B10" s="44" t="s">
        <v>72</v>
      </c>
      <c r="C10" s="45"/>
      <c r="D10" s="73" t="s">
        <v>41</v>
      </c>
      <c r="E10" s="74"/>
      <c r="F10" s="49"/>
      <c r="G10" s="49"/>
      <c r="H10" s="44" t="s">
        <v>149</v>
      </c>
      <c r="I10" s="50"/>
      <c r="J10" s="70">
        <v>1300</v>
      </c>
      <c r="K10" s="69" t="s">
        <v>114</v>
      </c>
      <c r="L10" s="9">
        <f>IF(K10=P26,J10/27679.9,J10/231)</f>
        <v>4.6965487592079448E-2</v>
      </c>
      <c r="M10" s="9" t="s">
        <v>115</v>
      </c>
    </row>
    <row r="11" spans="1:13" ht="18" customHeight="1" x14ac:dyDescent="0.25">
      <c r="A11"/>
      <c r="B11" s="47" t="s">
        <v>144</v>
      </c>
      <c r="C11" s="50"/>
      <c r="D11" s="71">
        <v>100</v>
      </c>
      <c r="E11" s="72"/>
      <c r="F11" s="45"/>
      <c r="G11" s="45"/>
      <c r="H11" s="50"/>
      <c r="I11" s="50"/>
      <c r="J11" s="50"/>
      <c r="K11" s="50"/>
    </row>
    <row r="12" spans="1:13" ht="18" customHeight="1" x14ac:dyDescent="0.25">
      <c r="A12"/>
      <c r="B12" s="44" t="s">
        <v>157</v>
      </c>
      <c r="C12" s="45"/>
      <c r="D12" s="70">
        <v>9.6999999999999993</v>
      </c>
      <c r="E12" s="69" t="s">
        <v>94</v>
      </c>
      <c r="F12" s="48">
        <f>IF(E12="m",D12*3.28084,D12)</f>
        <v>9.6999999999999993</v>
      </c>
      <c r="G12" s="48" t="s">
        <v>94</v>
      </c>
      <c r="H12" s="47" t="s">
        <v>150</v>
      </c>
      <c r="I12" s="50"/>
      <c r="J12" s="70">
        <v>4</v>
      </c>
      <c r="K12" s="69" t="s">
        <v>123</v>
      </c>
      <c r="L12" s="9">
        <f>IF(K12=O29,J12,J12/25.4)</f>
        <v>4</v>
      </c>
      <c r="M12" s="9" t="s">
        <v>123</v>
      </c>
    </row>
    <row r="13" spans="1:13" ht="18" customHeight="1" x14ac:dyDescent="0.25">
      <c r="A13"/>
      <c r="B13" s="47" t="s">
        <v>158</v>
      </c>
      <c r="C13" s="48"/>
      <c r="D13" s="54">
        <v>5000</v>
      </c>
      <c r="E13" s="69" t="s">
        <v>111</v>
      </c>
      <c r="F13" s="45">
        <f>IF(E13=N26,D13,IF(E13=N28,D13/0.0689476,IF(E13=N29,D13*145.037738,D13/6.89476)))</f>
        <v>5000</v>
      </c>
      <c r="G13" s="45" t="s">
        <v>111</v>
      </c>
      <c r="H13" s="47" t="s">
        <v>151</v>
      </c>
      <c r="I13" s="50"/>
      <c r="J13" s="70">
        <v>500</v>
      </c>
      <c r="K13" s="69" t="s">
        <v>122</v>
      </c>
      <c r="L13" s="9">
        <f>IF(K13=P29,J13,J13*2.20462)</f>
        <v>500</v>
      </c>
      <c r="M13" s="9" t="s">
        <v>122</v>
      </c>
    </row>
    <row r="14" spans="1:13" ht="6" customHeight="1" x14ac:dyDescent="0.25">
      <c r="A14"/>
      <c r="B14" s="55"/>
      <c r="C14" s="56"/>
      <c r="D14" s="59"/>
      <c r="E14" s="60"/>
      <c r="F14" s="57"/>
      <c r="G14" s="57"/>
      <c r="H14" s="55"/>
      <c r="I14" s="58"/>
      <c r="J14" s="60"/>
      <c r="K14" s="60"/>
      <c r="L14" s="9"/>
      <c r="M14" s="9"/>
    </row>
    <row r="15" spans="1:13" ht="18" customHeight="1" x14ac:dyDescent="0.25">
      <c r="A15"/>
      <c r="B15" s="61" t="s">
        <v>154</v>
      </c>
      <c r="F15" s="9"/>
      <c r="G15" s="9"/>
      <c r="H15" s="3"/>
      <c r="I15" s="3"/>
      <c r="J15" s="3"/>
    </row>
    <row r="16" spans="1:13" ht="18" customHeight="1" x14ac:dyDescent="0.25">
      <c r="A16"/>
      <c r="B16" s="44" t="s">
        <v>137</v>
      </c>
      <c r="C16" s="51"/>
      <c r="D16" s="31">
        <f>F12*D11</f>
        <v>969.99999999999989</v>
      </c>
      <c r="E16" s="32" t="s">
        <v>94</v>
      </c>
      <c r="F16" s="43"/>
      <c r="G16" s="32"/>
      <c r="H16" s="31">
        <f>F12*D11/3.28084</f>
        <v>295.65599053900826</v>
      </c>
      <c r="I16" s="43"/>
      <c r="J16" s="32" t="s">
        <v>54</v>
      </c>
    </row>
    <row r="17" spans="1:20" ht="18" customHeight="1" x14ac:dyDescent="0.25">
      <c r="A17"/>
      <c r="B17" s="47" t="s">
        <v>71</v>
      </c>
      <c r="C17" s="50"/>
      <c r="D17" s="33">
        <f>Fs</f>
        <v>17380.047614000534</v>
      </c>
      <c r="E17" s="34" t="s">
        <v>122</v>
      </c>
      <c r="F17" s="34"/>
      <c r="G17" s="34"/>
      <c r="H17" s="33">
        <f>D17*0.4482216</f>
        <v>7790.1127496235013</v>
      </c>
      <c r="I17" s="30"/>
      <c r="J17" s="30" t="s">
        <v>69</v>
      </c>
    </row>
    <row r="18" spans="1:20" ht="18" customHeight="1" x14ac:dyDescent="0.25">
      <c r="A18"/>
      <c r="B18" s="47" t="s">
        <v>138</v>
      </c>
      <c r="C18" s="46"/>
      <c r="D18" s="38">
        <f>J46</f>
        <v>62264.928128257241</v>
      </c>
      <c r="E18" s="32" t="s">
        <v>122</v>
      </c>
      <c r="F18" s="43"/>
      <c r="G18" s="43"/>
      <c r="H18" s="33">
        <f>D18*0.4482216</f>
        <v>27908.485709532466</v>
      </c>
      <c r="I18" s="43"/>
      <c r="J18" s="30" t="s">
        <v>69</v>
      </c>
    </row>
    <row r="19" spans="1:20" ht="18" customHeight="1" x14ac:dyDescent="0.25">
      <c r="A19"/>
      <c r="B19" s="47" t="s">
        <v>117</v>
      </c>
      <c r="C19" s="50"/>
      <c r="D19" s="33">
        <f>Sn</f>
        <v>3561.5070328855249</v>
      </c>
      <c r="E19" s="32" t="s">
        <v>94</v>
      </c>
      <c r="F19" s="32"/>
      <c r="G19" s="32"/>
      <c r="H19" s="35">
        <f>D19/3.28084</f>
        <v>1085.5473088859942</v>
      </c>
      <c r="I19" s="32"/>
      <c r="J19" s="32" t="s">
        <v>54</v>
      </c>
    </row>
    <row r="20" spans="1:20" ht="18" customHeight="1" x14ac:dyDescent="0.25">
      <c r="A20"/>
      <c r="B20" s="47" t="s">
        <v>52</v>
      </c>
      <c r="C20" s="50"/>
      <c r="D20" s="64">
        <f>IF(Fy/(ABS(J36))&gt;=Sf,IF(Fs&lt;0,"Pipe Heavy",MIN(J35,144)),"Overload")</f>
        <v>89.157572205496251</v>
      </c>
      <c r="E20" s="32" t="s">
        <v>123</v>
      </c>
      <c r="F20" s="32"/>
      <c r="G20" s="32"/>
      <c r="H20" s="63">
        <f>IF(Fy/(ABS(J36))&gt;=Sf,IF(Fs&lt;0,"Pipe in tension",D20*0.0254),"Pipe Collapse Failure")</f>
        <v>2.2646023340196049</v>
      </c>
      <c r="I20" s="32"/>
      <c r="J20" s="32" t="s">
        <v>54</v>
      </c>
    </row>
    <row r="21" spans="1:20" ht="18" customHeight="1" x14ac:dyDescent="0.25">
      <c r="A21"/>
      <c r="B21" s="47" t="s">
        <v>53</v>
      </c>
      <c r="C21" s="50"/>
      <c r="D21" s="33">
        <f>IF(D47&lt;0,"rod&gt;cyl",D47)</f>
        <v>409.10689584332846</v>
      </c>
      <c r="E21" s="32" t="s">
        <v>111</v>
      </c>
      <c r="F21" s="32"/>
      <c r="G21" s="32"/>
      <c r="H21" s="36">
        <f>D21*0.006894757</f>
        <v>2.8206926338640597</v>
      </c>
      <c r="I21" s="32"/>
      <c r="J21" s="32" t="s">
        <v>55</v>
      </c>
    </row>
    <row r="22" spans="1:20" ht="25.5" customHeight="1" x14ac:dyDescent="0.2">
      <c r="A22"/>
      <c r="B22" s="75" t="s">
        <v>155</v>
      </c>
      <c r="C22" s="75"/>
      <c r="D22" s="75"/>
      <c r="E22" s="75"/>
      <c r="F22" s="75"/>
      <c r="G22" s="75"/>
      <c r="H22" s="75"/>
      <c r="I22" s="75"/>
      <c r="J22" s="75"/>
      <c r="K22" s="75"/>
    </row>
    <row r="25" spans="1:20" ht="15" x14ac:dyDescent="0.2">
      <c r="A25"/>
      <c r="B25" s="12" t="s">
        <v>118</v>
      </c>
      <c r="C25" s="5"/>
      <c r="D25" s="6"/>
      <c r="E25" s="6"/>
      <c r="F25" s="9"/>
      <c r="G25" s="9"/>
      <c r="H25" s="14" t="s">
        <v>120</v>
      </c>
      <c r="I25" s="5"/>
      <c r="J25" s="5"/>
      <c r="R25" s="14" t="s">
        <v>124</v>
      </c>
      <c r="S25" s="14" t="s">
        <v>125</v>
      </c>
      <c r="T25" s="5"/>
    </row>
    <row r="26" spans="1:20" ht="15.75" x14ac:dyDescent="0.25">
      <c r="A26"/>
      <c r="B26" s="15" t="s">
        <v>0</v>
      </c>
      <c r="C26" s="15" t="s">
        <v>6</v>
      </c>
      <c r="D26" s="15">
        <f>VLOOKUP('Hang-Off Worksheet'!D9,'Tubing Info'!A6:C44,2)</f>
        <v>2.375</v>
      </c>
      <c r="E26" s="6"/>
      <c r="F26" s="9"/>
      <c r="G26" s="9"/>
      <c r="H26" s="15" t="s">
        <v>51</v>
      </c>
      <c r="I26" s="15"/>
      <c r="J26" s="19">
        <v>2</v>
      </c>
      <c r="M26" s="39" t="s">
        <v>101</v>
      </c>
      <c r="N26" s="39" t="s">
        <v>111</v>
      </c>
      <c r="O26" s="39" t="s">
        <v>94</v>
      </c>
      <c r="P26" s="39" t="s">
        <v>114</v>
      </c>
      <c r="R26" s="40">
        <v>0</v>
      </c>
      <c r="S26" s="41">
        <f t="shared" ref="S26:S50" si="0">IF(T26&lt;Cc,(Fy*A*(1-((T26^2)/(2*(Cc^2))))),(A*(286000000/(T26^2))))</f>
        <v>176130.69558741243</v>
      </c>
      <c r="T26" s="40">
        <f>MAX(((K*R26)/rg),(((Rn/t)^0.5)*(4.8+(Rn/(225*t)))))</f>
        <v>9.8459001581646231</v>
      </c>
    </row>
    <row r="27" spans="1:20" ht="15.75" x14ac:dyDescent="0.25">
      <c r="A27"/>
      <c r="B27" s="15" t="s">
        <v>1</v>
      </c>
      <c r="C27" s="15" t="s">
        <v>7</v>
      </c>
      <c r="D27" s="15">
        <f>VLOOKUP('Hang-Off Worksheet'!D9,'Tubing Info'!A6:C44,3)</f>
        <v>1.867</v>
      </c>
      <c r="E27" s="6"/>
      <c r="F27" s="9"/>
      <c r="G27" s="9"/>
      <c r="H27" s="15" t="s">
        <v>19</v>
      </c>
      <c r="I27" s="15" t="s">
        <v>20</v>
      </c>
      <c r="J27" s="19">
        <v>1</v>
      </c>
      <c r="M27" s="39" t="s">
        <v>104</v>
      </c>
      <c r="N27" s="39" t="s">
        <v>112</v>
      </c>
      <c r="O27" s="39" t="s">
        <v>54</v>
      </c>
      <c r="P27" s="39" t="s">
        <v>116</v>
      </c>
      <c r="R27" s="40">
        <v>6</v>
      </c>
      <c r="S27" s="41">
        <f t="shared" si="0"/>
        <v>176130.69558741243</v>
      </c>
      <c r="T27" s="40">
        <f t="shared" ref="T27:T50" si="1">MAX(((K*R27)/rg),(((Rn/t)^0.5)*(4.8+(Rn/(225*t)))))</f>
        <v>9.8459001581646231</v>
      </c>
    </row>
    <row r="28" spans="1:20" ht="15.75" x14ac:dyDescent="0.25">
      <c r="A28"/>
      <c r="B28" s="15" t="s">
        <v>9</v>
      </c>
      <c r="C28" s="15" t="s">
        <v>10</v>
      </c>
      <c r="D28" s="16">
        <f>VLOOKUP(D10,'Tubing Info'!G6:H12,2)</f>
        <v>105000</v>
      </c>
      <c r="E28" s="6"/>
      <c r="F28" s="9"/>
      <c r="G28" s="9"/>
      <c r="H28" s="15" t="s">
        <v>4</v>
      </c>
      <c r="I28" s="15" t="s">
        <v>5</v>
      </c>
      <c r="J28" s="20">
        <v>29000000</v>
      </c>
      <c r="M28" s="39"/>
      <c r="N28" s="39" t="s">
        <v>113</v>
      </c>
      <c r="O28" s="39"/>
      <c r="P28" s="39"/>
      <c r="R28" s="40">
        <v>12</v>
      </c>
      <c r="S28" s="41">
        <f t="shared" si="0"/>
        <v>173596.04827505437</v>
      </c>
      <c r="T28" s="40">
        <f t="shared" si="1"/>
        <v>15.888889102331134</v>
      </c>
    </row>
    <row r="29" spans="1:20" ht="15.75" x14ac:dyDescent="0.25">
      <c r="A29"/>
      <c r="B29" s="15" t="s">
        <v>2</v>
      </c>
      <c r="C29" s="15" t="s">
        <v>8</v>
      </c>
      <c r="D29" s="15">
        <f>(OD-ID)/2</f>
        <v>0.254</v>
      </c>
      <c r="E29" s="6"/>
      <c r="F29" s="9"/>
      <c r="G29" s="9"/>
      <c r="H29" s="15" t="s">
        <v>11</v>
      </c>
      <c r="I29" s="15" t="s">
        <v>12</v>
      </c>
      <c r="J29" s="15">
        <f>(PI()*((OD^4)-(ID^4)))/64</f>
        <v>0.96538307869998607</v>
      </c>
      <c r="M29" s="39"/>
      <c r="N29" s="39" t="s">
        <v>55</v>
      </c>
      <c r="O29" s="39" t="s">
        <v>123</v>
      </c>
      <c r="P29" s="39" t="s">
        <v>122</v>
      </c>
      <c r="R29" s="40">
        <v>18</v>
      </c>
      <c r="S29" s="41">
        <f t="shared" si="0"/>
        <v>168452.74418499786</v>
      </c>
      <c r="T29" s="40">
        <f t="shared" si="1"/>
        <v>23.833333653496702</v>
      </c>
    </row>
    <row r="30" spans="1:20" ht="14.25" customHeight="1" x14ac:dyDescent="0.25">
      <c r="A30"/>
      <c r="B30" s="15" t="s">
        <v>3</v>
      </c>
      <c r="C30" s="15" t="s">
        <v>21</v>
      </c>
      <c r="D30" s="17">
        <f>(ID+t)/2</f>
        <v>1.0605</v>
      </c>
      <c r="E30" s="6"/>
      <c r="F30" s="9"/>
      <c r="G30" s="9"/>
      <c r="H30" s="15" t="s">
        <v>15</v>
      </c>
      <c r="I30" s="15" t="s">
        <v>16</v>
      </c>
      <c r="J30" s="15">
        <f>(I/A)^0.5</f>
        <v>0.75524474509922934</v>
      </c>
      <c r="M30" s="39"/>
      <c r="N30" s="39"/>
      <c r="O30" s="39" t="s">
        <v>132</v>
      </c>
      <c r="P30" s="39" t="s">
        <v>136</v>
      </c>
      <c r="R30" s="40">
        <v>24</v>
      </c>
      <c r="S30" s="41">
        <f t="shared" si="0"/>
        <v>161252.11845891876</v>
      </c>
      <c r="T30" s="40">
        <f t="shared" si="1"/>
        <v>31.777778204662269</v>
      </c>
    </row>
    <row r="31" spans="1:20" ht="15" x14ac:dyDescent="0.2">
      <c r="A31"/>
      <c r="B31" s="15" t="s">
        <v>13</v>
      </c>
      <c r="C31" s="15" t="s">
        <v>14</v>
      </c>
      <c r="D31" s="17">
        <f>(PI()*((OD^2)-(ID^2)))/4</f>
        <v>1.6924827766390438</v>
      </c>
      <c r="E31" s="6"/>
      <c r="F31" s="9"/>
      <c r="G31" s="9"/>
      <c r="H31" s="15"/>
      <c r="I31" s="15"/>
      <c r="J31" s="15"/>
      <c r="R31" s="40">
        <v>30</v>
      </c>
      <c r="S31" s="41">
        <f t="shared" si="0"/>
        <v>151994.17109681704</v>
      </c>
      <c r="T31" s="40">
        <f t="shared" si="1"/>
        <v>39.722222755827836</v>
      </c>
    </row>
    <row r="32" spans="1:20" ht="14.25" customHeight="1" x14ac:dyDescent="0.2">
      <c r="A32"/>
      <c r="B32" s="18" t="s">
        <v>90</v>
      </c>
      <c r="C32" s="18" t="s">
        <v>89</v>
      </c>
      <c r="D32" s="17">
        <f>(VLOOKUP(D9,'Tubing Info'!A6:D44,4))</f>
        <v>4.4301365154137313</v>
      </c>
      <c r="E32" s="6"/>
      <c r="F32" s="9"/>
      <c r="G32" s="9"/>
      <c r="H32" s="15" t="s">
        <v>17</v>
      </c>
      <c r="I32" s="15" t="s">
        <v>18</v>
      </c>
      <c r="J32" s="15">
        <f>PI()*(((2*E)/Fy)^0.5)</f>
        <v>73.836180011542979</v>
      </c>
      <c r="R32" s="40">
        <v>36</v>
      </c>
      <c r="S32" s="41">
        <f t="shared" si="0"/>
        <v>140678.90209869272</v>
      </c>
      <c r="T32" s="40">
        <f t="shared" si="1"/>
        <v>47.666667306993403</v>
      </c>
    </row>
    <row r="33" spans="1:20" ht="15" x14ac:dyDescent="0.2">
      <c r="A33"/>
      <c r="B33" s="18" t="s">
        <v>91</v>
      </c>
      <c r="C33" s="18" t="s">
        <v>92</v>
      </c>
      <c r="D33" s="17">
        <f>(VLOOKUP(D9,'Tubing Info'!A6:F44,6))</f>
        <v>2.737653738774688</v>
      </c>
      <c r="E33" s="6"/>
      <c r="F33" s="9"/>
      <c r="G33" s="9"/>
      <c r="H33" s="15" t="s">
        <v>34</v>
      </c>
      <c r="I33" s="15"/>
      <c r="J33" s="21">
        <f>(Cc*rg)/K</f>
        <v>55.764386951918588</v>
      </c>
      <c r="R33" s="40">
        <v>42</v>
      </c>
      <c r="S33" s="41">
        <f t="shared" si="0"/>
        <v>127306.31146454578</v>
      </c>
      <c r="T33" s="40">
        <f t="shared" si="1"/>
        <v>55.611111858158971</v>
      </c>
    </row>
    <row r="34" spans="1:20" x14ac:dyDescent="0.2">
      <c r="A34"/>
      <c r="B34" s="18" t="s">
        <v>98</v>
      </c>
      <c r="C34" s="18" t="s">
        <v>106</v>
      </c>
      <c r="D34" s="17">
        <f>(VLOOKUP(D9,'Tubing Info'!A6:E44,5))</f>
        <v>5.95</v>
      </c>
      <c r="E34" s="5"/>
      <c r="F34" s="5"/>
      <c r="G34" s="5"/>
      <c r="H34" s="15" t="s">
        <v>35</v>
      </c>
      <c r="I34" s="15"/>
      <c r="J34" s="22">
        <f>A*(PI()^2*E/(Cc^2))</f>
        <v>88855.34577354978</v>
      </c>
      <c r="R34" s="40">
        <v>48</v>
      </c>
      <c r="S34" s="41">
        <f t="shared" si="0"/>
        <v>111876.39919437625</v>
      </c>
      <c r="T34" s="40">
        <f t="shared" si="1"/>
        <v>63.555556409324538</v>
      </c>
    </row>
    <row r="35" spans="1:20" x14ac:dyDescent="0.2">
      <c r="A35"/>
      <c r="B35" s="18" t="s">
        <v>103</v>
      </c>
      <c r="C35" s="18" t="s">
        <v>107</v>
      </c>
      <c r="D35" s="17">
        <f>D41/D38</f>
        <v>6.8994787153218393</v>
      </c>
      <c r="E35" s="5"/>
      <c r="F35" s="5"/>
      <c r="G35" s="5"/>
      <c r="H35" s="23" t="s">
        <v>88</v>
      </c>
      <c r="I35" s="24"/>
      <c r="J35" s="25">
        <f>IF(Fs&lt;0,"Pipe Heavy",IF(Fs&lt;J34,((rg*PI()/K)*(((E*A)/(Fs*Sf))^0.5)),((rg/K)*(((2*(Cc^2))*(1-((Fs*Sf)/(Fy*A))))^0.5))))</f>
        <v>89.157572205496251</v>
      </c>
      <c r="R35" s="40">
        <v>54</v>
      </c>
      <c r="S35" s="41">
        <f t="shared" si="0"/>
        <v>94389.165288184144</v>
      </c>
      <c r="T35" s="40">
        <f t="shared" si="1"/>
        <v>71.500000960490098</v>
      </c>
    </row>
    <row r="36" spans="1:20" x14ac:dyDescent="0.2">
      <c r="A36"/>
      <c r="E36" s="5"/>
      <c r="F36" s="5"/>
      <c r="G36" s="5"/>
      <c r="H36" s="18" t="s">
        <v>110</v>
      </c>
      <c r="I36" s="18"/>
      <c r="J36" s="26">
        <f>Fs/A</f>
        <v>10268.965719411384</v>
      </c>
      <c r="L36" s="10"/>
      <c r="R36" s="40">
        <v>60</v>
      </c>
      <c r="S36" s="41">
        <f t="shared" si="0"/>
        <v>76694.322363387764</v>
      </c>
      <c r="T36" s="40">
        <f t="shared" si="1"/>
        <v>79.444445511655672</v>
      </c>
    </row>
    <row r="37" spans="1:20" x14ac:dyDescent="0.2">
      <c r="A37"/>
      <c r="B37" s="13" t="s">
        <v>119</v>
      </c>
      <c r="E37" s="5"/>
      <c r="F37" s="5"/>
      <c r="G37" s="5"/>
      <c r="R37" s="40">
        <v>66</v>
      </c>
      <c r="S37" s="41">
        <f t="shared" si="0"/>
        <v>63383.737490403124</v>
      </c>
      <c r="T37" s="40">
        <f t="shared" si="1"/>
        <v>87.388890062821233</v>
      </c>
    </row>
    <row r="38" spans="1:20" x14ac:dyDescent="0.2">
      <c r="A38"/>
      <c r="B38" s="18" t="s">
        <v>95</v>
      </c>
      <c r="C38" s="18" t="s">
        <v>96</v>
      </c>
      <c r="D38" s="27">
        <f>D16</f>
        <v>969.99999999999989</v>
      </c>
      <c r="E38" s="7"/>
      <c r="F38" s="7"/>
      <c r="G38" s="7"/>
      <c r="H38" s="13" t="s">
        <v>121</v>
      </c>
      <c r="K38" s="3"/>
      <c r="R38" s="40">
        <v>72</v>
      </c>
      <c r="S38" s="41">
        <f t="shared" si="0"/>
        <v>53259.946085685944</v>
      </c>
      <c r="T38" s="40">
        <f t="shared" si="1"/>
        <v>95.333334613986807</v>
      </c>
    </row>
    <row r="39" spans="1:20" x14ac:dyDescent="0.2">
      <c r="A39"/>
      <c r="B39" s="18" t="s">
        <v>97</v>
      </c>
      <c r="C39" s="15"/>
      <c r="D39" s="27">
        <f>D38*D34</f>
        <v>5771.4999999999991</v>
      </c>
      <c r="E39" s="7"/>
      <c r="F39" s="7"/>
      <c r="G39" s="7"/>
      <c r="H39" s="15" t="s">
        <v>46</v>
      </c>
      <c r="I39" s="15"/>
      <c r="J39" s="19">
        <v>0</v>
      </c>
      <c r="K39" s="4"/>
      <c r="R39" s="40">
        <v>78</v>
      </c>
      <c r="S39" s="41">
        <f t="shared" si="0"/>
        <v>45381.255836324126</v>
      </c>
      <c r="T39" s="40">
        <f t="shared" si="1"/>
        <v>103.27777916515237</v>
      </c>
    </row>
    <row r="40" spans="1:20" x14ac:dyDescent="0.2">
      <c r="A40"/>
      <c r="B40" s="18" t="s">
        <v>99</v>
      </c>
      <c r="C40" s="15"/>
      <c r="D40" s="27">
        <f>IF(J6="Yes",D33*D38*12*L7,0)</f>
        <v>920.99435386218488</v>
      </c>
      <c r="E40" s="7"/>
      <c r="F40" s="7"/>
      <c r="G40" s="7"/>
      <c r="H40" s="15" t="s">
        <v>44</v>
      </c>
      <c r="I40" s="15" t="s">
        <v>47</v>
      </c>
      <c r="J40" s="28">
        <f>D32*F13</f>
        <v>22150.682577068656</v>
      </c>
      <c r="K40" s="4"/>
      <c r="R40" s="40">
        <v>84</v>
      </c>
      <c r="S40" s="41">
        <f t="shared" si="0"/>
        <v>39129.756307850897</v>
      </c>
      <c r="T40" s="40">
        <f t="shared" si="1"/>
        <v>111.22222371631794</v>
      </c>
    </row>
    <row r="41" spans="1:20" x14ac:dyDescent="0.2">
      <c r="A41"/>
      <c r="B41" s="18" t="s">
        <v>100</v>
      </c>
      <c r="C41" s="18" t="s">
        <v>109</v>
      </c>
      <c r="D41" s="27">
        <f>D39+D40</f>
        <v>6692.4943538621837</v>
      </c>
      <c r="E41" s="7"/>
      <c r="F41" s="7"/>
      <c r="G41" s="7"/>
      <c r="H41" s="18" t="s">
        <v>102</v>
      </c>
      <c r="I41" s="15" t="s">
        <v>108</v>
      </c>
      <c r="J41" s="27">
        <f>IF(J8="yes",(IF(D38&gt;L9,D32*(D38-L9)*12*L10,0)),0)</f>
        <v>2421.8593907940622</v>
      </c>
      <c r="K41" s="29"/>
      <c r="R41" s="40">
        <v>90</v>
      </c>
      <c r="S41" s="41">
        <f t="shared" si="0"/>
        <v>34086.36549483901</v>
      </c>
      <c r="T41" s="40">
        <f t="shared" si="1"/>
        <v>119.1666682674835</v>
      </c>
    </row>
    <row r="42" spans="1:20" x14ac:dyDescent="0.2">
      <c r="A42"/>
      <c r="B42" s="15" t="s">
        <v>49</v>
      </c>
      <c r="C42" s="18" t="s">
        <v>87</v>
      </c>
      <c r="D42" s="28">
        <f>(Fp+Fb)/Wt</f>
        <v>3561.5070328855249</v>
      </c>
      <c r="E42" s="7"/>
      <c r="F42" s="7"/>
      <c r="G42" s="7"/>
      <c r="H42" s="15" t="s">
        <v>48</v>
      </c>
      <c r="I42" s="18" t="s">
        <v>105</v>
      </c>
      <c r="J42" s="28">
        <f>Fp+friction+J41-D41-L13</f>
        <v>17380.047614000534</v>
      </c>
      <c r="R42" s="40">
        <v>96</v>
      </c>
      <c r="S42" s="41">
        <f t="shared" si="0"/>
        <v>29958.719673198346</v>
      </c>
      <c r="T42" s="40">
        <f t="shared" si="1"/>
        <v>127.11111281864908</v>
      </c>
    </row>
    <row r="43" spans="1:20" x14ac:dyDescent="0.2">
      <c r="A43"/>
      <c r="C43" s="5"/>
      <c r="D43" s="5"/>
      <c r="E43" s="7"/>
      <c r="F43" s="7"/>
      <c r="G43" s="7"/>
      <c r="R43" s="40">
        <v>102</v>
      </c>
      <c r="S43" s="41">
        <f t="shared" si="0"/>
        <v>26537.827807400616</v>
      </c>
      <c r="T43" s="40">
        <f t="shared" si="1"/>
        <v>135.05555736981464</v>
      </c>
    </row>
    <row r="44" spans="1:20" x14ac:dyDescent="0.2">
      <c r="A44"/>
      <c r="B44" s="13" t="s">
        <v>127</v>
      </c>
      <c r="E44" s="5"/>
      <c r="F44" s="5"/>
      <c r="G44" s="5"/>
      <c r="H44" s="37" t="s">
        <v>133</v>
      </c>
      <c r="R44" s="40">
        <v>108</v>
      </c>
      <c r="S44" s="41">
        <f t="shared" si="0"/>
        <v>23671.087149193761</v>
      </c>
      <c r="T44" s="40">
        <f t="shared" si="1"/>
        <v>143.0000019209802</v>
      </c>
    </row>
    <row r="45" spans="1:20" x14ac:dyDescent="0.2">
      <c r="A45"/>
      <c r="B45" s="15" t="s">
        <v>128</v>
      </c>
      <c r="C45" s="15"/>
      <c r="D45" s="15">
        <f>D6*(PI()/4*(D7^2-D8^2))</f>
        <v>46.73119072214817</v>
      </c>
      <c r="E45" s="5"/>
      <c r="F45" s="5"/>
      <c r="G45" s="5"/>
      <c r="H45" s="15" t="s">
        <v>134</v>
      </c>
      <c r="I45" s="15"/>
      <c r="J45" s="17">
        <f>PI()/4*L12^2</f>
        <v>12.566370614359172</v>
      </c>
      <c r="R45" s="40">
        <v>114</v>
      </c>
      <c r="S45" s="41">
        <f t="shared" si="0"/>
        <v>21244.964643597723</v>
      </c>
      <c r="T45" s="40">
        <f t="shared" si="1"/>
        <v>150.94444647214576</v>
      </c>
    </row>
    <row r="46" spans="1:20" x14ac:dyDescent="0.2">
      <c r="A46"/>
      <c r="B46" s="15" t="s">
        <v>129</v>
      </c>
      <c r="C46" s="15"/>
      <c r="D46" s="15">
        <f>D6*(PI()/4*(D7^2))</f>
        <v>56.548667764616276</v>
      </c>
      <c r="E46" s="5"/>
      <c r="F46" s="5"/>
      <c r="G46" s="5"/>
      <c r="H46" s="18" t="s">
        <v>135</v>
      </c>
      <c r="I46" s="15"/>
      <c r="J46" s="28">
        <f>J45*F13-Wt*F12-L13</f>
        <v>62264.928128257241</v>
      </c>
      <c r="R46" s="40">
        <v>120</v>
      </c>
      <c r="S46" s="41">
        <f t="shared" si="0"/>
        <v>19173.580590846941</v>
      </c>
      <c r="T46" s="40">
        <f t="shared" si="1"/>
        <v>158.88889102331134</v>
      </c>
    </row>
    <row r="47" spans="1:20" x14ac:dyDescent="0.2">
      <c r="A47"/>
      <c r="B47" s="15" t="s">
        <v>130</v>
      </c>
      <c r="C47" s="15"/>
      <c r="D47" s="15">
        <f>IF(Fs&lt;0,ABS(Fs)/D46*1.1,Fs/D45*1.1)</f>
        <v>409.10689584332846</v>
      </c>
      <c r="E47" s="5"/>
      <c r="F47" s="5"/>
      <c r="G47" s="5"/>
      <c r="R47" s="40">
        <v>126</v>
      </c>
      <c r="S47" s="41">
        <f t="shared" si="0"/>
        <v>17391.002803489289</v>
      </c>
      <c r="T47" s="40">
        <f t="shared" si="1"/>
        <v>166.83333557447691</v>
      </c>
    </row>
    <row r="48" spans="1:20" x14ac:dyDescent="0.2">
      <c r="A48"/>
      <c r="B48" s="15" t="s">
        <v>131</v>
      </c>
      <c r="C48" s="15"/>
      <c r="D48" s="15" t="str">
        <f>IF(Fs&lt;0,"Pipe Heavy","Pipe Light")</f>
        <v>Pipe Light</v>
      </c>
      <c r="E48" s="5"/>
      <c r="F48" s="5"/>
      <c r="G48" s="5"/>
      <c r="R48" s="40">
        <v>132</v>
      </c>
      <c r="S48" s="41">
        <f t="shared" si="0"/>
        <v>15845.934372600781</v>
      </c>
      <c r="T48" s="40">
        <f t="shared" si="1"/>
        <v>174.77778012564247</v>
      </c>
    </row>
    <row r="49" spans="1:21" x14ac:dyDescent="0.2">
      <c r="A49"/>
      <c r="E49" s="5"/>
      <c r="F49" s="5"/>
      <c r="G49" s="5"/>
      <c r="R49" s="40">
        <v>138</v>
      </c>
      <c r="S49" s="41">
        <f t="shared" si="0"/>
        <v>14497.981543173495</v>
      </c>
      <c r="T49" s="40">
        <f t="shared" si="1"/>
        <v>182.72222467680803</v>
      </c>
    </row>
    <row r="50" spans="1:21" x14ac:dyDescent="0.2">
      <c r="A50"/>
      <c r="R50" s="40">
        <v>144</v>
      </c>
      <c r="S50" s="41">
        <f t="shared" si="0"/>
        <v>13314.986521421486</v>
      </c>
      <c r="T50" s="40">
        <f t="shared" si="1"/>
        <v>190.66666922797361</v>
      </c>
    </row>
    <row r="54" spans="1:21" s="68" customFormat="1" ht="37.5" customHeight="1" x14ac:dyDescent="0.3">
      <c r="A54" s="76" t="s">
        <v>159</v>
      </c>
      <c r="B54" s="76"/>
      <c r="C54" s="76"/>
      <c r="D54" s="76"/>
      <c r="E54" s="76"/>
      <c r="F54" s="76"/>
      <c r="G54" s="76"/>
      <c r="H54" s="76"/>
      <c r="I54" s="76"/>
      <c r="J54" s="76"/>
      <c r="K54" s="76"/>
      <c r="L54" s="76"/>
      <c r="M54" s="76"/>
      <c r="N54" s="76"/>
      <c r="O54" s="76"/>
      <c r="P54" s="76"/>
      <c r="Q54" s="76"/>
      <c r="R54" s="76"/>
      <c r="S54" s="76"/>
      <c r="T54" s="76"/>
      <c r="U54" s="76"/>
    </row>
    <row r="55" spans="1:21" x14ac:dyDescent="0.2">
      <c r="A55"/>
      <c r="C55" s="5"/>
      <c r="D55" s="5"/>
      <c r="E55" s="5"/>
      <c r="F55" s="5"/>
      <c r="G55" s="5"/>
      <c r="H55" s="5"/>
      <c r="I55" s="5"/>
      <c r="J55" s="5"/>
    </row>
    <row r="56" spans="1:21" x14ac:dyDescent="0.2">
      <c r="A56"/>
      <c r="C56" s="5"/>
      <c r="D56" s="5"/>
      <c r="E56" s="5"/>
      <c r="F56" s="5"/>
      <c r="G56" s="5"/>
      <c r="H56" s="5"/>
      <c r="I56" s="5"/>
      <c r="J56" s="5"/>
    </row>
    <row r="57" spans="1:21" x14ac:dyDescent="0.2">
      <c r="A57"/>
      <c r="B57"/>
      <c r="C57" s="5"/>
      <c r="D57" s="5"/>
      <c r="E57" s="5"/>
      <c r="F57" s="5"/>
      <c r="G57" s="5"/>
      <c r="H57" s="5"/>
      <c r="I57" s="5"/>
      <c r="J57" s="5"/>
    </row>
    <row r="59" spans="1:21" x14ac:dyDescent="0.2">
      <c r="A59"/>
      <c r="B59"/>
      <c r="C59" s="5"/>
      <c r="D59" s="5"/>
      <c r="E59" s="5"/>
      <c r="F59" s="5"/>
      <c r="G59" s="5"/>
      <c r="H59" s="5"/>
      <c r="I59" s="5"/>
      <c r="J59" s="5"/>
    </row>
    <row r="60" spans="1:21" x14ac:dyDescent="0.2">
      <c r="A60"/>
      <c r="B60"/>
      <c r="C60" s="5"/>
      <c r="D60" s="5"/>
      <c r="E60" s="5"/>
      <c r="F60" s="5"/>
      <c r="G60" s="5"/>
      <c r="H60" s="5"/>
      <c r="I60" s="5"/>
      <c r="J60" s="5"/>
    </row>
    <row r="61" spans="1:21" x14ac:dyDescent="0.2">
      <c r="A61"/>
      <c r="B61"/>
      <c r="C61" s="5"/>
      <c r="D61" s="5"/>
      <c r="E61" s="5"/>
      <c r="F61" s="5"/>
      <c r="G61" s="5"/>
      <c r="H61" s="5"/>
      <c r="I61" s="5"/>
      <c r="J61" s="5"/>
    </row>
    <row r="62" spans="1:21" x14ac:dyDescent="0.2">
      <c r="A62"/>
      <c r="B62"/>
      <c r="C62" s="5"/>
      <c r="D62" s="5"/>
      <c r="E62" s="5"/>
      <c r="F62" s="5"/>
      <c r="G62" s="5"/>
      <c r="H62" s="5"/>
      <c r="I62" s="5"/>
      <c r="J62" s="5"/>
    </row>
    <row r="63" spans="1:21" x14ac:dyDescent="0.2">
      <c r="A63"/>
      <c r="B63"/>
      <c r="C63" s="5"/>
      <c r="D63" s="5"/>
      <c r="E63" s="5"/>
      <c r="F63" s="5"/>
      <c r="G63" s="5"/>
      <c r="H63" s="5"/>
      <c r="I63" s="5"/>
      <c r="J63" s="5"/>
    </row>
    <row r="64" spans="1:21" x14ac:dyDescent="0.2">
      <c r="A64"/>
      <c r="B64"/>
      <c r="C64" s="5"/>
      <c r="D64" s="5"/>
      <c r="E64" s="5"/>
      <c r="F64" s="5"/>
      <c r="G64" s="5"/>
      <c r="H64" s="5"/>
      <c r="I64" s="5"/>
      <c r="J64" s="5"/>
    </row>
    <row r="65" spans="1:13" x14ac:dyDescent="0.2">
      <c r="A65"/>
      <c r="B65"/>
      <c r="C65" s="5"/>
      <c r="D65" s="5"/>
      <c r="E65" s="5"/>
      <c r="F65" s="5"/>
      <c r="G65" s="5"/>
      <c r="H65" s="5"/>
      <c r="I65" s="5"/>
      <c r="J65" s="5"/>
    </row>
    <row r="66" spans="1:13" x14ac:dyDescent="0.2">
      <c r="A66"/>
      <c r="B66"/>
      <c r="C66" s="5"/>
      <c r="D66" s="5"/>
      <c r="E66" s="5"/>
      <c r="F66" s="5"/>
      <c r="G66" s="5"/>
      <c r="H66" s="5"/>
      <c r="I66" s="5"/>
      <c r="J66" s="5"/>
    </row>
    <row r="67" spans="1:13" x14ac:dyDescent="0.2">
      <c r="A67"/>
      <c r="B67"/>
      <c r="C67" s="5"/>
      <c r="D67" s="5"/>
      <c r="E67" s="5"/>
      <c r="F67" s="5"/>
      <c r="G67" s="5"/>
      <c r="H67" s="5"/>
      <c r="I67" s="5"/>
      <c r="J67" s="5"/>
    </row>
    <row r="68" spans="1:13" x14ac:dyDescent="0.2">
      <c r="A68"/>
      <c r="B68"/>
      <c r="C68" s="5"/>
      <c r="D68" s="5"/>
      <c r="E68" s="5"/>
      <c r="F68" s="5"/>
      <c r="G68" s="5"/>
      <c r="H68" s="5"/>
      <c r="I68" s="5"/>
      <c r="J68" s="5"/>
    </row>
    <row r="69" spans="1:13" x14ac:dyDescent="0.2">
      <c r="A69"/>
      <c r="B69"/>
      <c r="C69" s="5"/>
      <c r="D69" s="5"/>
      <c r="E69" s="5"/>
      <c r="F69" s="5"/>
      <c r="G69" s="5"/>
      <c r="H69" s="5"/>
      <c r="I69" s="5"/>
      <c r="J69" s="5"/>
    </row>
    <row r="70" spans="1:13" x14ac:dyDescent="0.2">
      <c r="A70"/>
      <c r="B70"/>
      <c r="C70" s="5"/>
      <c r="D70" s="5"/>
      <c r="E70" s="5"/>
      <c r="F70" s="5"/>
      <c r="G70" s="5"/>
      <c r="H70" s="5"/>
      <c r="I70" s="5"/>
      <c r="J70" s="5"/>
    </row>
    <row r="71" spans="1:13" x14ac:dyDescent="0.2">
      <c r="A71"/>
      <c r="B71"/>
      <c r="C71" s="5"/>
      <c r="D71" s="5"/>
      <c r="E71" s="5"/>
      <c r="F71" s="5"/>
      <c r="G71" s="5"/>
      <c r="H71" s="5"/>
      <c r="I71" s="5"/>
      <c r="J71" s="5"/>
    </row>
    <row r="72" spans="1:13" x14ac:dyDescent="0.2">
      <c r="A72"/>
      <c r="B72"/>
      <c r="C72" s="5"/>
      <c r="D72" s="5"/>
      <c r="E72" s="5"/>
      <c r="F72" s="5"/>
      <c r="G72" s="5"/>
      <c r="H72" s="5"/>
      <c r="I72" s="5"/>
      <c r="J72" s="5"/>
    </row>
    <row r="73" spans="1:13" x14ac:dyDescent="0.2">
      <c r="A73"/>
      <c r="C73" s="5"/>
      <c r="D73" s="5"/>
      <c r="E73" s="5"/>
      <c r="F73" s="5"/>
      <c r="G73" s="5"/>
      <c r="H73" s="5"/>
      <c r="I73" s="5"/>
      <c r="J73" s="5"/>
    </row>
    <row r="74" spans="1:13" x14ac:dyDescent="0.2">
      <c r="A74"/>
      <c r="C74" s="5"/>
      <c r="D74" s="5"/>
      <c r="E74" s="5"/>
      <c r="F74" s="5"/>
      <c r="G74" s="5"/>
      <c r="H74" s="5"/>
      <c r="I74" s="5"/>
      <c r="J74" s="5"/>
      <c r="M74" s="1"/>
    </row>
    <row r="75" spans="1:13" x14ac:dyDescent="0.2">
      <c r="A75"/>
      <c r="C75" s="5"/>
      <c r="D75" s="5"/>
      <c r="E75" s="5"/>
      <c r="F75" s="5"/>
      <c r="G75" s="5"/>
      <c r="H75" s="5"/>
      <c r="I75" s="5"/>
      <c r="J75" s="5"/>
      <c r="M75" s="1"/>
    </row>
    <row r="76" spans="1:13" x14ac:dyDescent="0.2">
      <c r="A76"/>
      <c r="C76" s="5"/>
      <c r="D76" s="5"/>
      <c r="E76" s="5"/>
      <c r="F76" s="5"/>
      <c r="G76" s="5"/>
      <c r="H76" s="5"/>
      <c r="I76" s="5"/>
      <c r="J76" s="5"/>
      <c r="M76" s="1"/>
    </row>
    <row r="77" spans="1:13" x14ac:dyDescent="0.2">
      <c r="A77"/>
      <c r="M77" s="1"/>
    </row>
    <row r="78" spans="1:13" x14ac:dyDescent="0.2">
      <c r="A78"/>
      <c r="M78" s="1"/>
    </row>
    <row r="79" spans="1:13" x14ac:dyDescent="0.2">
      <c r="A79"/>
      <c r="B79" s="8"/>
      <c r="C79" s="8"/>
      <c r="D79" s="8"/>
      <c r="E79" s="8"/>
      <c r="F79" s="8"/>
      <c r="G79" s="8"/>
      <c r="H79" s="8"/>
      <c r="I79" s="8"/>
      <c r="J79" s="8"/>
      <c r="M79" s="1"/>
    </row>
    <row r="80" spans="1:13" x14ac:dyDescent="0.2">
      <c r="A80"/>
      <c r="B80" s="8"/>
      <c r="C80" s="8"/>
      <c r="D80" s="8"/>
      <c r="E80" s="8"/>
      <c r="F80" s="8"/>
      <c r="G80" s="8"/>
      <c r="H80" s="8"/>
      <c r="I80" s="8"/>
      <c r="J80" s="8"/>
      <c r="M80" s="1"/>
    </row>
    <row r="81" spans="1:13" x14ac:dyDescent="0.2">
      <c r="A81"/>
      <c r="B81" s="8"/>
      <c r="C81" s="8"/>
      <c r="D81" s="8"/>
      <c r="E81" s="8"/>
      <c r="F81" s="8"/>
      <c r="G81" s="8"/>
      <c r="H81" s="8"/>
      <c r="I81" s="8"/>
      <c r="J81" s="8"/>
      <c r="M81" s="1"/>
    </row>
    <row r="82" spans="1:13" x14ac:dyDescent="0.2">
      <c r="A82"/>
      <c r="M82" s="1"/>
    </row>
    <row r="83" spans="1:13" x14ac:dyDescent="0.2">
      <c r="A83"/>
      <c r="M83" s="1"/>
    </row>
    <row r="84" spans="1:13" x14ac:dyDescent="0.2">
      <c r="A84"/>
      <c r="M84" s="1"/>
    </row>
    <row r="85" spans="1:13" x14ac:dyDescent="0.2">
      <c r="A85"/>
      <c r="M85" s="1"/>
    </row>
    <row r="86" spans="1:13" x14ac:dyDescent="0.2">
      <c r="A86"/>
      <c r="M86" s="1"/>
    </row>
    <row r="87" spans="1:13" x14ac:dyDescent="0.2">
      <c r="A87"/>
      <c r="M87" s="1"/>
    </row>
    <row r="88" spans="1:13" x14ac:dyDescent="0.2">
      <c r="A88"/>
      <c r="M88" s="1"/>
    </row>
    <row r="89" spans="1:13" x14ac:dyDescent="0.2">
      <c r="A89"/>
      <c r="B89"/>
      <c r="M89" s="1"/>
    </row>
    <row r="90" spans="1:13" x14ac:dyDescent="0.2">
      <c r="A90"/>
      <c r="B90"/>
      <c r="M90" s="1"/>
    </row>
    <row r="91" spans="1:13" x14ac:dyDescent="0.2">
      <c r="A91"/>
      <c r="B91"/>
      <c r="M91" s="1"/>
    </row>
    <row r="92" spans="1:13" x14ac:dyDescent="0.2">
      <c r="A92"/>
      <c r="B92"/>
      <c r="M92" s="1"/>
    </row>
    <row r="93" spans="1:13" x14ac:dyDescent="0.2">
      <c r="A93"/>
      <c r="B93"/>
      <c r="M93" s="1"/>
    </row>
    <row r="94" spans="1:13" x14ac:dyDescent="0.2">
      <c r="A94"/>
      <c r="B94"/>
      <c r="M94" s="1"/>
    </row>
    <row r="95" spans="1:13" x14ac:dyDescent="0.2">
      <c r="A95"/>
      <c r="B95"/>
      <c r="M95" s="1"/>
    </row>
    <row r="96" spans="1:13" x14ac:dyDescent="0.2">
      <c r="A96"/>
      <c r="B96"/>
      <c r="M96" s="1"/>
    </row>
    <row r="97" spans="1:13" x14ac:dyDescent="0.2">
      <c r="A97"/>
      <c r="B97"/>
      <c r="M97" s="1"/>
    </row>
    <row r="98" spans="1:13" x14ac:dyDescent="0.2">
      <c r="A98"/>
      <c r="B98"/>
      <c r="M98" s="1"/>
    </row>
    <row r="99" spans="1:13" x14ac:dyDescent="0.2">
      <c r="A99"/>
      <c r="B99"/>
      <c r="M99" s="1"/>
    </row>
    <row r="100" spans="1:13" x14ac:dyDescent="0.2">
      <c r="A100"/>
      <c r="B100"/>
      <c r="M100" s="1"/>
    </row>
    <row r="101" spans="1:13" x14ac:dyDescent="0.2">
      <c r="A101"/>
      <c r="B101"/>
      <c r="M101" s="1"/>
    </row>
    <row r="102" spans="1:13" x14ac:dyDescent="0.2">
      <c r="A102"/>
      <c r="B102"/>
      <c r="M102" s="1"/>
    </row>
    <row r="103" spans="1:13" x14ac:dyDescent="0.2">
      <c r="A103"/>
      <c r="B103"/>
      <c r="M103" s="1"/>
    </row>
    <row r="104" spans="1:13" x14ac:dyDescent="0.2">
      <c r="A104"/>
      <c r="B104"/>
      <c r="M104" s="1"/>
    </row>
    <row r="105" spans="1:13" x14ac:dyDescent="0.2">
      <c r="A105"/>
      <c r="B105"/>
      <c r="M105" s="1"/>
    </row>
    <row r="106" spans="1:13" x14ac:dyDescent="0.2">
      <c r="A106"/>
      <c r="B106"/>
      <c r="M106" s="1"/>
    </row>
    <row r="107" spans="1:13" x14ac:dyDescent="0.2">
      <c r="A107"/>
      <c r="B107"/>
      <c r="M107" s="1"/>
    </row>
    <row r="108" spans="1:13" x14ac:dyDescent="0.2">
      <c r="A108"/>
      <c r="B108"/>
      <c r="M108" s="1"/>
    </row>
    <row r="109" spans="1:13" x14ac:dyDescent="0.2">
      <c r="A109"/>
      <c r="B109"/>
      <c r="M109" s="1"/>
    </row>
    <row r="110" spans="1:13" x14ac:dyDescent="0.2">
      <c r="A110"/>
      <c r="B110"/>
      <c r="M110" s="1"/>
    </row>
    <row r="111" spans="1:13" x14ac:dyDescent="0.2">
      <c r="A111"/>
      <c r="B111"/>
      <c r="M111" s="1"/>
    </row>
    <row r="112" spans="1:13" x14ac:dyDescent="0.2">
      <c r="A112"/>
      <c r="B112"/>
      <c r="M112" s="1"/>
    </row>
    <row r="113" spans="1:13" x14ac:dyDescent="0.2">
      <c r="A113"/>
      <c r="B113"/>
      <c r="M113" s="1"/>
    </row>
    <row r="114" spans="1:13" x14ac:dyDescent="0.2">
      <c r="A114"/>
      <c r="B114"/>
      <c r="M114" s="1"/>
    </row>
    <row r="115" spans="1:13" x14ac:dyDescent="0.2">
      <c r="A115"/>
      <c r="B115"/>
      <c r="M115" s="1"/>
    </row>
    <row r="116" spans="1:13" x14ac:dyDescent="0.2">
      <c r="A116"/>
      <c r="B116"/>
      <c r="M116" s="1"/>
    </row>
    <row r="117" spans="1:13" x14ac:dyDescent="0.2">
      <c r="A117"/>
      <c r="B117"/>
      <c r="M117" s="1"/>
    </row>
    <row r="118" spans="1:13" x14ac:dyDescent="0.2">
      <c r="A118"/>
      <c r="B118"/>
      <c r="M118" s="1"/>
    </row>
    <row r="119" spans="1:13" x14ac:dyDescent="0.2">
      <c r="A119"/>
      <c r="B119"/>
      <c r="M119" s="1"/>
    </row>
    <row r="120" spans="1:13" x14ac:dyDescent="0.2">
      <c r="A120"/>
      <c r="B120"/>
      <c r="M120" s="1"/>
    </row>
    <row r="121" spans="1:13" x14ac:dyDescent="0.2">
      <c r="A121"/>
      <c r="B121"/>
      <c r="M121" s="1"/>
    </row>
    <row r="122" spans="1:13" x14ac:dyDescent="0.2">
      <c r="A122"/>
      <c r="B122"/>
      <c r="M122" s="1"/>
    </row>
    <row r="123" spans="1:13" x14ac:dyDescent="0.2">
      <c r="A123"/>
      <c r="B123"/>
      <c r="M123" s="1"/>
    </row>
    <row r="124" spans="1:13" x14ac:dyDescent="0.2">
      <c r="A124"/>
      <c r="B124"/>
      <c r="M124" s="1"/>
    </row>
    <row r="125" spans="1:13" x14ac:dyDescent="0.2">
      <c r="A125"/>
      <c r="B125"/>
      <c r="M125" s="1"/>
    </row>
    <row r="126" spans="1:13" x14ac:dyDescent="0.2">
      <c r="A126"/>
      <c r="B126"/>
      <c r="M126" s="1"/>
    </row>
    <row r="127" spans="1:13" x14ac:dyDescent="0.2">
      <c r="A127"/>
      <c r="B127"/>
      <c r="M127" s="1"/>
    </row>
    <row r="128" spans="1:13" x14ac:dyDescent="0.2">
      <c r="A128"/>
      <c r="B128"/>
      <c r="M128" s="1"/>
    </row>
    <row r="129" spans="1:13" x14ac:dyDescent="0.2">
      <c r="A129"/>
      <c r="B129"/>
      <c r="M129" s="1"/>
    </row>
    <row r="130" spans="1:13" x14ac:dyDescent="0.2">
      <c r="A130"/>
      <c r="B130"/>
      <c r="M130" s="1"/>
    </row>
    <row r="131" spans="1:13" x14ac:dyDescent="0.2">
      <c r="A131"/>
      <c r="B131"/>
      <c r="M131" s="1"/>
    </row>
    <row r="132" spans="1:13" x14ac:dyDescent="0.2">
      <c r="A132"/>
      <c r="B132"/>
      <c r="M132" s="1"/>
    </row>
    <row r="133" spans="1:13" x14ac:dyDescent="0.2">
      <c r="A133"/>
      <c r="B133"/>
      <c r="M133" s="1"/>
    </row>
    <row r="134" spans="1:13" x14ac:dyDescent="0.2">
      <c r="A134"/>
      <c r="B134"/>
      <c r="M134" s="1"/>
    </row>
    <row r="135" spans="1:13" x14ac:dyDescent="0.2">
      <c r="A135"/>
      <c r="B135"/>
      <c r="M135" s="1"/>
    </row>
    <row r="136" spans="1:13" x14ac:dyDescent="0.2">
      <c r="A136"/>
      <c r="B136"/>
      <c r="M136" s="1"/>
    </row>
    <row r="137" spans="1:13" x14ac:dyDescent="0.2">
      <c r="A137"/>
      <c r="B137"/>
      <c r="M137" s="1"/>
    </row>
    <row r="138" spans="1:13" x14ac:dyDescent="0.2">
      <c r="A138"/>
      <c r="B138"/>
      <c r="M138" s="1"/>
    </row>
    <row r="139" spans="1:13" x14ac:dyDescent="0.2">
      <c r="A139"/>
      <c r="B139"/>
      <c r="M139" s="1"/>
    </row>
    <row r="140" spans="1:13" x14ac:dyDescent="0.2">
      <c r="A140"/>
      <c r="B140"/>
      <c r="M140" s="1"/>
    </row>
    <row r="141" spans="1:13" x14ac:dyDescent="0.2">
      <c r="A141"/>
      <c r="B141"/>
      <c r="M141" s="1"/>
    </row>
    <row r="142" spans="1:13" x14ac:dyDescent="0.2">
      <c r="A142"/>
      <c r="B142"/>
      <c r="M142" s="1"/>
    </row>
    <row r="143" spans="1:13" x14ac:dyDescent="0.2">
      <c r="A143"/>
      <c r="B143"/>
      <c r="M143" s="1"/>
    </row>
    <row r="144" spans="1:13" x14ac:dyDescent="0.2">
      <c r="A144"/>
      <c r="B144"/>
      <c r="M144" s="1"/>
    </row>
    <row r="145" spans="1:13" x14ac:dyDescent="0.2">
      <c r="A145"/>
      <c r="B145"/>
      <c r="M145" s="1"/>
    </row>
    <row r="146" spans="1:13" x14ac:dyDescent="0.2">
      <c r="A146"/>
      <c r="B146"/>
      <c r="M146" s="1"/>
    </row>
    <row r="147" spans="1:13" x14ac:dyDescent="0.2">
      <c r="A147"/>
      <c r="B147"/>
      <c r="M147" s="1"/>
    </row>
    <row r="148" spans="1:13" x14ac:dyDescent="0.2">
      <c r="A148"/>
      <c r="B148"/>
      <c r="M148" s="1"/>
    </row>
    <row r="149" spans="1:13" x14ac:dyDescent="0.2">
      <c r="A149"/>
      <c r="B149"/>
      <c r="M149" s="1"/>
    </row>
    <row r="150" spans="1:13" x14ac:dyDescent="0.2">
      <c r="A150"/>
      <c r="B150"/>
      <c r="M150" s="1"/>
    </row>
    <row r="151" spans="1:13" x14ac:dyDescent="0.2">
      <c r="A151"/>
      <c r="B151"/>
      <c r="M151" s="1"/>
    </row>
    <row r="152" spans="1:13" x14ac:dyDescent="0.2">
      <c r="A152"/>
      <c r="B152"/>
      <c r="M152" s="1"/>
    </row>
    <row r="153" spans="1:13" x14ac:dyDescent="0.2">
      <c r="A153"/>
      <c r="B153"/>
      <c r="M153" s="1"/>
    </row>
    <row r="154" spans="1:13" x14ac:dyDescent="0.2">
      <c r="A154"/>
      <c r="B154"/>
      <c r="M154" s="1"/>
    </row>
    <row r="155" spans="1:13" x14ac:dyDescent="0.2">
      <c r="A155"/>
      <c r="B155"/>
      <c r="M155" s="1"/>
    </row>
    <row r="156" spans="1:13" x14ac:dyDescent="0.2">
      <c r="A156"/>
      <c r="B156"/>
      <c r="M156" s="1"/>
    </row>
    <row r="157" spans="1:13" x14ac:dyDescent="0.2">
      <c r="A157"/>
      <c r="B157"/>
      <c r="M157" s="1"/>
    </row>
    <row r="158" spans="1:13" x14ac:dyDescent="0.2">
      <c r="A158"/>
      <c r="B158"/>
      <c r="M158" s="1"/>
    </row>
    <row r="159" spans="1:13" x14ac:dyDescent="0.2">
      <c r="A159"/>
      <c r="B159"/>
      <c r="M159" s="1"/>
    </row>
    <row r="160" spans="1:13" x14ac:dyDescent="0.2">
      <c r="A160"/>
      <c r="B160"/>
      <c r="M160" s="1"/>
    </row>
    <row r="161" spans="1:13" x14ac:dyDescent="0.2">
      <c r="A161"/>
      <c r="B161"/>
      <c r="M161" s="1"/>
    </row>
    <row r="162" spans="1:13" x14ac:dyDescent="0.2">
      <c r="A162"/>
      <c r="B162"/>
      <c r="M162" s="1"/>
    </row>
    <row r="163" spans="1:13" x14ac:dyDescent="0.2">
      <c r="A163"/>
      <c r="B163"/>
      <c r="M163" s="1"/>
    </row>
    <row r="164" spans="1:13" x14ac:dyDescent="0.2">
      <c r="A164"/>
      <c r="B164"/>
      <c r="M164" s="1"/>
    </row>
    <row r="165" spans="1:13" x14ac:dyDescent="0.2">
      <c r="A165"/>
      <c r="B165"/>
      <c r="M165" s="1"/>
    </row>
    <row r="166" spans="1:13" x14ac:dyDescent="0.2">
      <c r="A166"/>
      <c r="B166"/>
      <c r="M166" s="1"/>
    </row>
    <row r="167" spans="1:13" x14ac:dyDescent="0.2">
      <c r="A167"/>
      <c r="B167"/>
      <c r="M167" s="1"/>
    </row>
  </sheetData>
  <sheetProtection password="9BF7" sheet="1" objects="1" scenarios="1" selectLockedCells="1"/>
  <mergeCells count="8">
    <mergeCell ref="B22:K22"/>
    <mergeCell ref="A54:U54"/>
    <mergeCell ref="D11:E11"/>
    <mergeCell ref="D9:E9"/>
    <mergeCell ref="D10:E10"/>
    <mergeCell ref="J6:K6"/>
    <mergeCell ref="J8:K8"/>
    <mergeCell ref="D6:E6"/>
  </mergeCells>
  <phoneticPr fontId="3" type="noConversion"/>
  <dataValidations count="12">
    <dataValidation type="list" allowBlank="1" showInputMessage="1" showErrorMessage="1" sqref="E25:E33 K10 K7">
      <formula1>$P$26:$P$27</formula1>
    </dataValidation>
    <dataValidation type="list" allowBlank="1" showInputMessage="1" showErrorMessage="1" sqref="K9 E12">
      <formula1>$O$26:$O$27</formula1>
    </dataValidation>
    <dataValidation type="list" allowBlank="1" showInputMessage="1" showErrorMessage="1" sqref="J8 J6">
      <formula1>$M$26:$M$27</formula1>
    </dataValidation>
    <dataValidation type="list" allowBlank="1" showInputMessage="1" showErrorMessage="1" sqref="E13:E14">
      <formula1>$N$26:$N$29</formula1>
    </dataValidation>
    <dataValidation type="list" allowBlank="1" showInputMessage="1" showErrorMessage="1" sqref="D10">
      <formula1>grade</formula1>
    </dataValidation>
    <dataValidation type="list" allowBlank="1" showInputMessage="1" showErrorMessage="1" sqref="E10">
      <formula1>pipebig</formula1>
    </dataValidation>
    <dataValidation type="list" allowBlank="1" showInputMessage="1" showErrorMessage="1" sqref="F10:G10 D9:E9">
      <formula1>pipenew2</formula1>
    </dataValidation>
    <dataValidation type="list" allowBlank="1" showInputMessage="1" showErrorMessage="1" sqref="D6">
      <formula1>Legs</formula1>
    </dataValidation>
    <dataValidation type="list" allowBlank="1" showInputMessage="1" showErrorMessage="1" sqref="D7">
      <formula1>Cylinder</formula1>
    </dataValidation>
    <dataValidation type="list" allowBlank="1" showInputMessage="1" showErrorMessage="1" sqref="D8">
      <formula1>Rod</formula1>
    </dataValidation>
    <dataValidation type="list" allowBlank="1" showInputMessage="1" showErrorMessage="1" sqref="K12">
      <formula1>$O$29:$O$30</formula1>
    </dataValidation>
    <dataValidation type="list" allowBlank="1" showInputMessage="1" showErrorMessage="1" sqref="K13:K14">
      <formula1>$P$29:$P$30</formula1>
    </dataValidation>
  </dataValidations>
  <pageMargins left="0.75" right="0.75" top="1.1000000000000001" bottom="0.3" header="0.3" footer="0.3"/>
  <pageSetup scale="63" fitToHeight="0" orientation="landscape" horizontalDpi="300" verticalDpi="300" r:id="rId1"/>
  <headerFooter alignWithMargins="0">
    <oddHeader>&amp;L&amp;G&amp;C&amp;14
&amp;"Arial,Bold"&amp;22Tubing Buckling Load Worksheet&amp;R&amp;"Crillee Bold Italic,Regular"&amp;16&amp;K0055A5Snubco Pressure Control Ltd.&amp;"-,Regular"&amp;11
&amp;K000000502 - 23A Avenue
Nisku, Alberta, Canada T9E 8G2
Telephone: +1-780-955-3550
Email: snubco@snubco.com</oddHeader>
  </headerFooter>
  <cellWatches>
    <cellWatch r="D17"/>
  </cellWatche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H44"/>
  <sheetViews>
    <sheetView workbookViewId="0">
      <selection activeCell="D19" sqref="D19"/>
    </sheetView>
  </sheetViews>
  <sheetFormatPr defaultRowHeight="12.75" x14ac:dyDescent="0.2"/>
  <cols>
    <col min="1" max="1" width="17" customWidth="1"/>
    <col min="6" max="6" width="10" bestFit="1" customWidth="1"/>
  </cols>
  <sheetData>
    <row r="4" spans="1:8" x14ac:dyDescent="0.2">
      <c r="B4" t="s">
        <v>6</v>
      </c>
      <c r="C4" t="s">
        <v>7</v>
      </c>
      <c r="D4" t="s">
        <v>45</v>
      </c>
      <c r="E4" t="s">
        <v>50</v>
      </c>
      <c r="F4" t="s">
        <v>93</v>
      </c>
    </row>
    <row r="6" spans="1:8" x14ac:dyDescent="0.2">
      <c r="A6" t="s">
        <v>22</v>
      </c>
      <c r="B6">
        <v>1.05</v>
      </c>
      <c r="C6">
        <v>0.82399999999999995</v>
      </c>
      <c r="D6">
        <f t="shared" ref="D6:D44" si="0">(PI()*(B6^2))/4</f>
        <v>0.86590147514568672</v>
      </c>
      <c r="E6">
        <v>1.2</v>
      </c>
      <c r="F6">
        <f>(PI()*(C6^2))/4</f>
        <v>0.53326650339094572</v>
      </c>
      <c r="G6" t="s">
        <v>38</v>
      </c>
      <c r="H6">
        <v>75000</v>
      </c>
    </row>
    <row r="7" spans="1:8" x14ac:dyDescent="0.2">
      <c r="A7" t="s">
        <v>23</v>
      </c>
      <c r="B7">
        <v>1.3149999999999999</v>
      </c>
      <c r="C7">
        <v>1.0489999999999999</v>
      </c>
      <c r="D7">
        <f t="shared" si="0"/>
        <v>1.3581301391009524</v>
      </c>
      <c r="E7">
        <v>1.8</v>
      </c>
      <c r="F7">
        <f t="shared" ref="F7:F44" si="1">(PI()*(C7^2))/4</f>
        <v>0.86425292440071544</v>
      </c>
      <c r="G7" t="s">
        <v>36</v>
      </c>
      <c r="H7">
        <v>40000</v>
      </c>
    </row>
    <row r="8" spans="1:8" x14ac:dyDescent="0.2">
      <c r="A8" t="s">
        <v>24</v>
      </c>
      <c r="B8">
        <v>1.66</v>
      </c>
      <c r="C8">
        <v>1.38</v>
      </c>
      <c r="D8">
        <f t="shared" si="0"/>
        <v>2.1642431790580083</v>
      </c>
      <c r="E8">
        <v>2.4</v>
      </c>
      <c r="F8">
        <f t="shared" si="1"/>
        <v>1.4957122623741002</v>
      </c>
      <c r="G8" t="s">
        <v>37</v>
      </c>
      <c r="H8">
        <v>55000</v>
      </c>
    </row>
    <row r="9" spans="1:8" x14ac:dyDescent="0.2">
      <c r="A9" t="s">
        <v>25</v>
      </c>
      <c r="B9">
        <v>1.9</v>
      </c>
      <c r="C9">
        <v>1.61</v>
      </c>
      <c r="D9">
        <f t="shared" si="0"/>
        <v>2.8352873698647882</v>
      </c>
      <c r="E9">
        <v>2.9</v>
      </c>
      <c r="F9">
        <f t="shared" si="1"/>
        <v>2.0358305793425258</v>
      </c>
      <c r="G9" t="s">
        <v>40</v>
      </c>
      <c r="H9">
        <v>80000</v>
      </c>
    </row>
    <row r="10" spans="1:8" x14ac:dyDescent="0.2">
      <c r="A10" t="s">
        <v>26</v>
      </c>
      <c r="B10">
        <v>2.375</v>
      </c>
      <c r="C10">
        <v>1.9950000000000001</v>
      </c>
      <c r="D10">
        <f t="shared" si="0"/>
        <v>4.4301365154137313</v>
      </c>
      <c r="E10">
        <v>4.7</v>
      </c>
      <c r="F10">
        <f t="shared" si="1"/>
        <v>3.1259043252759295</v>
      </c>
      <c r="G10" t="s">
        <v>39</v>
      </c>
      <c r="H10">
        <v>80000</v>
      </c>
    </row>
    <row r="11" spans="1:8" x14ac:dyDescent="0.2">
      <c r="A11" s="2" t="s">
        <v>27</v>
      </c>
      <c r="B11">
        <v>2.375</v>
      </c>
      <c r="C11">
        <v>1.867</v>
      </c>
      <c r="D11">
        <f t="shared" si="0"/>
        <v>4.4301365154137313</v>
      </c>
      <c r="E11">
        <v>5.95</v>
      </c>
      <c r="F11">
        <f t="shared" si="1"/>
        <v>2.737653738774688</v>
      </c>
      <c r="G11" t="s">
        <v>41</v>
      </c>
      <c r="H11">
        <v>105000</v>
      </c>
    </row>
    <row r="12" spans="1:8" x14ac:dyDescent="0.2">
      <c r="A12" t="s">
        <v>86</v>
      </c>
      <c r="B12">
        <v>2.875</v>
      </c>
      <c r="C12">
        <v>2.1509999999999998</v>
      </c>
      <c r="D12">
        <f t="shared" si="0"/>
        <v>6.4918066943320332</v>
      </c>
      <c r="E12">
        <v>10.4</v>
      </c>
      <c r="F12">
        <f t="shared" si="1"/>
        <v>3.6338810078054768</v>
      </c>
      <c r="G12" t="s">
        <v>156</v>
      </c>
      <c r="H12">
        <v>110000</v>
      </c>
    </row>
    <row r="13" spans="1:8" x14ac:dyDescent="0.2">
      <c r="A13" t="s">
        <v>85</v>
      </c>
      <c r="B13">
        <v>2.875</v>
      </c>
      <c r="C13">
        <v>2.4409999999999998</v>
      </c>
      <c r="D13">
        <f t="shared" si="0"/>
        <v>6.4918066943320332</v>
      </c>
      <c r="E13">
        <v>6.85</v>
      </c>
      <c r="F13">
        <f t="shared" si="1"/>
        <v>4.6797800340385907</v>
      </c>
    </row>
    <row r="14" spans="1:8" x14ac:dyDescent="0.2">
      <c r="A14" t="s">
        <v>28</v>
      </c>
      <c r="B14">
        <v>2.875</v>
      </c>
      <c r="C14">
        <v>2.4409999999999998</v>
      </c>
      <c r="D14">
        <f t="shared" si="0"/>
        <v>6.4918066943320332</v>
      </c>
      <c r="E14">
        <v>6.5</v>
      </c>
      <c r="F14">
        <f t="shared" si="1"/>
        <v>4.6797800340385907</v>
      </c>
    </row>
    <row r="15" spans="1:8" x14ac:dyDescent="0.2">
      <c r="A15" t="s">
        <v>29</v>
      </c>
      <c r="B15">
        <v>2.875</v>
      </c>
      <c r="C15">
        <v>2.2589999999999999</v>
      </c>
      <c r="D15">
        <f t="shared" si="0"/>
        <v>6.4918066943320332</v>
      </c>
      <c r="E15">
        <v>8.6999999999999993</v>
      </c>
      <c r="F15">
        <f t="shared" si="1"/>
        <v>4.0079504450684134</v>
      </c>
    </row>
    <row r="16" spans="1:8" x14ac:dyDescent="0.2">
      <c r="A16" t="s">
        <v>83</v>
      </c>
      <c r="B16">
        <v>3.5</v>
      </c>
      <c r="C16">
        <v>2.7639999999999998</v>
      </c>
      <c r="D16">
        <f t="shared" si="0"/>
        <v>9.6211275016187408</v>
      </c>
      <c r="E16">
        <v>13.3</v>
      </c>
      <c r="F16">
        <f t="shared" si="1"/>
        <v>6.000203207314831</v>
      </c>
    </row>
    <row r="17" spans="1:6" x14ac:dyDescent="0.2">
      <c r="A17" t="s">
        <v>84</v>
      </c>
      <c r="B17">
        <v>3.5</v>
      </c>
      <c r="C17">
        <v>2.6019999999999999</v>
      </c>
      <c r="D17">
        <f t="shared" si="0"/>
        <v>9.6211275016187408</v>
      </c>
      <c r="E17">
        <v>15.5</v>
      </c>
      <c r="F17">
        <f t="shared" si="1"/>
        <v>5.3174628670587367</v>
      </c>
    </row>
    <row r="18" spans="1:6" x14ac:dyDescent="0.2">
      <c r="A18" t="s">
        <v>82</v>
      </c>
      <c r="B18">
        <v>3.5</v>
      </c>
      <c r="C18">
        <v>2.992</v>
      </c>
      <c r="D18">
        <f t="shared" si="0"/>
        <v>9.6211275016187408</v>
      </c>
      <c r="E18">
        <v>9.5</v>
      </c>
      <c r="F18">
        <f t="shared" si="1"/>
        <v>7.0309346242164148</v>
      </c>
    </row>
    <row r="19" spans="1:6" x14ac:dyDescent="0.2">
      <c r="A19" t="s">
        <v>31</v>
      </c>
      <c r="B19">
        <v>3.5</v>
      </c>
      <c r="C19">
        <v>2.75</v>
      </c>
      <c r="D19">
        <f t="shared" si="0"/>
        <v>9.6211275016187408</v>
      </c>
      <c r="E19">
        <v>12.95</v>
      </c>
      <c r="F19">
        <f t="shared" si="1"/>
        <v>5.9395736106932029</v>
      </c>
    </row>
    <row r="20" spans="1:6" x14ac:dyDescent="0.2">
      <c r="A20" t="s">
        <v>30</v>
      </c>
      <c r="B20">
        <v>3.5</v>
      </c>
      <c r="C20">
        <v>2.992</v>
      </c>
      <c r="D20">
        <f t="shared" si="0"/>
        <v>9.6211275016187408</v>
      </c>
      <c r="E20">
        <v>9.3000000000000007</v>
      </c>
      <c r="F20">
        <f t="shared" si="1"/>
        <v>7.0309346242164148</v>
      </c>
    </row>
    <row r="21" spans="1:6" x14ac:dyDescent="0.2">
      <c r="A21" t="s">
        <v>57</v>
      </c>
      <c r="B21">
        <v>4.5</v>
      </c>
      <c r="C21">
        <v>4.0519999999999996</v>
      </c>
      <c r="D21">
        <f t="shared" si="0"/>
        <v>15.904312808798327</v>
      </c>
      <c r="E21">
        <v>10.5</v>
      </c>
      <c r="F21">
        <f t="shared" si="1"/>
        <v>12.895219966966335</v>
      </c>
    </row>
    <row r="22" spans="1:6" x14ac:dyDescent="0.2">
      <c r="A22" t="s">
        <v>58</v>
      </c>
      <c r="B22">
        <v>4.5</v>
      </c>
      <c r="C22">
        <v>4</v>
      </c>
      <c r="D22">
        <f t="shared" si="0"/>
        <v>15.904312808798327</v>
      </c>
      <c r="E22">
        <v>11.6</v>
      </c>
      <c r="F22">
        <f t="shared" si="1"/>
        <v>12.566370614359172</v>
      </c>
    </row>
    <row r="23" spans="1:6" x14ac:dyDescent="0.2">
      <c r="A23" t="s">
        <v>59</v>
      </c>
      <c r="B23">
        <v>4.5</v>
      </c>
      <c r="C23">
        <v>3.92</v>
      </c>
      <c r="D23">
        <f t="shared" si="0"/>
        <v>15.904312808798327</v>
      </c>
      <c r="E23">
        <v>13.5</v>
      </c>
      <c r="F23">
        <f t="shared" si="1"/>
        <v>12.068742338030548</v>
      </c>
    </row>
    <row r="24" spans="1:6" x14ac:dyDescent="0.2">
      <c r="A24" t="s">
        <v>76</v>
      </c>
      <c r="B24">
        <v>4.5</v>
      </c>
      <c r="C24">
        <v>3.9580000000000002</v>
      </c>
      <c r="D24">
        <f t="shared" si="0"/>
        <v>15.904312808798327</v>
      </c>
      <c r="E24">
        <v>13.75</v>
      </c>
      <c r="F24">
        <f t="shared" si="1"/>
        <v>12.303862273817863</v>
      </c>
    </row>
    <row r="25" spans="1:6" x14ac:dyDescent="0.2">
      <c r="A25" t="s">
        <v>77</v>
      </c>
      <c r="B25">
        <v>4.5</v>
      </c>
      <c r="C25">
        <v>3.8260000000000001</v>
      </c>
      <c r="D25">
        <f t="shared" si="0"/>
        <v>15.904312808798327</v>
      </c>
      <c r="E25">
        <v>16.600000000000001</v>
      </c>
      <c r="F25">
        <f t="shared" si="1"/>
        <v>11.496875085704946</v>
      </c>
    </row>
    <row r="26" spans="1:6" x14ac:dyDescent="0.2">
      <c r="A26" t="s">
        <v>78</v>
      </c>
      <c r="B26">
        <v>4.5</v>
      </c>
      <c r="C26">
        <v>3.64</v>
      </c>
      <c r="D26">
        <f t="shared" si="0"/>
        <v>15.904312808798327</v>
      </c>
      <c r="E26">
        <v>20</v>
      </c>
      <c r="F26">
        <f t="shared" si="1"/>
        <v>10.406211505750832</v>
      </c>
    </row>
    <row r="27" spans="1:6" x14ac:dyDescent="0.2">
      <c r="A27" t="s">
        <v>56</v>
      </c>
      <c r="B27">
        <v>4.5</v>
      </c>
      <c r="C27">
        <v>4.09</v>
      </c>
      <c r="D27">
        <f t="shared" si="0"/>
        <v>15.904312808798327</v>
      </c>
      <c r="E27">
        <v>9.5</v>
      </c>
      <c r="F27">
        <f t="shared" si="1"/>
        <v>13.138219017128852</v>
      </c>
    </row>
    <row r="28" spans="1:6" x14ac:dyDescent="0.2">
      <c r="A28" t="s">
        <v>33</v>
      </c>
      <c r="B28">
        <v>4.5</v>
      </c>
      <c r="C28">
        <v>3.9580000000000002</v>
      </c>
      <c r="D28">
        <f t="shared" si="0"/>
        <v>15.904312808798327</v>
      </c>
      <c r="E28">
        <v>12.75</v>
      </c>
      <c r="F28">
        <f t="shared" si="1"/>
        <v>12.303862273817863</v>
      </c>
    </row>
    <row r="29" spans="1:6" x14ac:dyDescent="0.2">
      <c r="A29" t="s">
        <v>73</v>
      </c>
      <c r="B29">
        <v>4</v>
      </c>
      <c r="C29">
        <v>3.476</v>
      </c>
      <c r="D29">
        <f t="shared" si="0"/>
        <v>12.566370614359172</v>
      </c>
      <c r="E29">
        <v>11.85</v>
      </c>
      <c r="F29">
        <f t="shared" si="1"/>
        <v>9.4896329995100874</v>
      </c>
    </row>
    <row r="30" spans="1:6" x14ac:dyDescent="0.2">
      <c r="A30" t="s">
        <v>74</v>
      </c>
      <c r="B30">
        <v>4</v>
      </c>
      <c r="C30">
        <v>3.34</v>
      </c>
      <c r="D30">
        <f t="shared" si="0"/>
        <v>12.566370614359172</v>
      </c>
      <c r="E30">
        <v>14</v>
      </c>
      <c r="F30">
        <f t="shared" si="1"/>
        <v>8.7615877515965739</v>
      </c>
    </row>
    <row r="31" spans="1:6" x14ac:dyDescent="0.2">
      <c r="A31" t="s">
        <v>75</v>
      </c>
      <c r="B31">
        <v>4</v>
      </c>
      <c r="C31">
        <v>3.24</v>
      </c>
      <c r="D31">
        <f t="shared" si="0"/>
        <v>12.566370614359172</v>
      </c>
      <c r="E31">
        <v>15.7</v>
      </c>
      <c r="F31">
        <f t="shared" si="1"/>
        <v>8.244795760081054</v>
      </c>
    </row>
    <row r="32" spans="1:6" x14ac:dyDescent="0.2">
      <c r="A32" t="s">
        <v>32</v>
      </c>
      <c r="B32">
        <v>4</v>
      </c>
      <c r="C32">
        <v>3.476</v>
      </c>
      <c r="D32">
        <f t="shared" si="0"/>
        <v>12.566370614359172</v>
      </c>
      <c r="E32">
        <v>11</v>
      </c>
      <c r="F32">
        <f t="shared" si="1"/>
        <v>9.4896329995100874</v>
      </c>
    </row>
    <row r="33" spans="1:6" x14ac:dyDescent="0.2">
      <c r="A33" t="s">
        <v>64</v>
      </c>
      <c r="B33">
        <v>5.5</v>
      </c>
      <c r="C33">
        <v>5.0119999999999996</v>
      </c>
      <c r="D33">
        <f t="shared" si="0"/>
        <v>23.758294442772812</v>
      </c>
      <c r="E33">
        <v>14</v>
      </c>
      <c r="F33">
        <f t="shared" si="1"/>
        <v>19.729314961879428</v>
      </c>
    </row>
    <row r="34" spans="1:6" x14ac:dyDescent="0.2">
      <c r="A34" t="s">
        <v>65</v>
      </c>
      <c r="B34">
        <v>5.5</v>
      </c>
      <c r="C34">
        <v>4.95</v>
      </c>
      <c r="D34">
        <f t="shared" si="0"/>
        <v>23.758294442772812</v>
      </c>
      <c r="E34">
        <v>15.5</v>
      </c>
      <c r="F34">
        <f t="shared" si="1"/>
        <v>19.244218498645978</v>
      </c>
    </row>
    <row r="35" spans="1:6" x14ac:dyDescent="0.2">
      <c r="A35" t="s">
        <v>66</v>
      </c>
      <c r="B35">
        <v>5.5</v>
      </c>
      <c r="C35">
        <v>4.8920000000000003</v>
      </c>
      <c r="D35">
        <f t="shared" si="0"/>
        <v>23.758294442772812</v>
      </c>
      <c r="E35">
        <v>17</v>
      </c>
      <c r="F35">
        <f t="shared" si="1"/>
        <v>18.795884952644833</v>
      </c>
    </row>
    <row r="36" spans="1:6" x14ac:dyDescent="0.2">
      <c r="A36" t="s">
        <v>67</v>
      </c>
      <c r="B36">
        <v>5.5</v>
      </c>
      <c r="C36">
        <v>4.7779999999999996</v>
      </c>
      <c r="D36">
        <f t="shared" si="0"/>
        <v>23.758294442772812</v>
      </c>
      <c r="E36">
        <v>20</v>
      </c>
      <c r="F36">
        <f t="shared" si="1"/>
        <v>17.93007772527875</v>
      </c>
    </row>
    <row r="37" spans="1:6" x14ac:dyDescent="0.2">
      <c r="A37" t="s">
        <v>68</v>
      </c>
      <c r="B37">
        <v>5.5</v>
      </c>
      <c r="C37">
        <v>4.67</v>
      </c>
      <c r="D37">
        <f t="shared" si="0"/>
        <v>23.758294442772812</v>
      </c>
      <c r="E37">
        <v>23</v>
      </c>
      <c r="F37">
        <f t="shared" si="1"/>
        <v>17.128670005718607</v>
      </c>
    </row>
    <row r="38" spans="1:6" x14ac:dyDescent="0.2">
      <c r="A38" t="s">
        <v>60</v>
      </c>
      <c r="B38">
        <v>5</v>
      </c>
      <c r="C38">
        <v>4.5599999999999996</v>
      </c>
      <c r="D38">
        <f t="shared" si="0"/>
        <v>19.634954084936208</v>
      </c>
      <c r="E38">
        <v>11.5</v>
      </c>
      <c r="F38">
        <f t="shared" si="1"/>
        <v>16.331255250421179</v>
      </c>
    </row>
    <row r="39" spans="1:6" x14ac:dyDescent="0.2">
      <c r="A39" t="s">
        <v>61</v>
      </c>
      <c r="B39">
        <v>5</v>
      </c>
      <c r="C39">
        <v>4.4939999999999998</v>
      </c>
      <c r="D39">
        <f t="shared" si="0"/>
        <v>19.634954084936208</v>
      </c>
      <c r="E39">
        <v>13</v>
      </c>
      <c r="F39">
        <f t="shared" si="1"/>
        <v>15.861929582308747</v>
      </c>
    </row>
    <row r="40" spans="1:6" x14ac:dyDescent="0.2">
      <c r="A40" t="s">
        <v>62</v>
      </c>
      <c r="B40">
        <v>5</v>
      </c>
      <c r="C40">
        <v>4.4080000000000004</v>
      </c>
      <c r="D40">
        <f t="shared" si="0"/>
        <v>19.634954084936208</v>
      </c>
      <c r="E40">
        <v>15</v>
      </c>
      <c r="F40">
        <f t="shared" si="1"/>
        <v>15.260650739560239</v>
      </c>
    </row>
    <row r="41" spans="1:6" x14ac:dyDescent="0.2">
      <c r="A41" t="s">
        <v>79</v>
      </c>
      <c r="B41">
        <v>5</v>
      </c>
      <c r="C41">
        <v>4.4080000000000004</v>
      </c>
      <c r="D41">
        <f t="shared" si="0"/>
        <v>19.634954084936208</v>
      </c>
      <c r="E41">
        <v>16.25</v>
      </c>
      <c r="F41">
        <f t="shared" si="1"/>
        <v>15.260650739560239</v>
      </c>
    </row>
    <row r="42" spans="1:6" x14ac:dyDescent="0.2">
      <c r="A42" t="s">
        <v>63</v>
      </c>
      <c r="B42">
        <v>5</v>
      </c>
      <c r="C42">
        <v>4.2759999999999998</v>
      </c>
      <c r="D42">
        <f t="shared" si="0"/>
        <v>19.634954084936208</v>
      </c>
      <c r="E42">
        <v>18</v>
      </c>
      <c r="F42">
        <f t="shared" si="1"/>
        <v>14.360358249635702</v>
      </c>
    </row>
    <row r="43" spans="1:6" x14ac:dyDescent="0.2">
      <c r="A43" t="s">
        <v>80</v>
      </c>
      <c r="B43">
        <v>5</v>
      </c>
      <c r="C43">
        <v>4.2759999999999998</v>
      </c>
      <c r="D43">
        <f t="shared" si="0"/>
        <v>19.634954084936208</v>
      </c>
      <c r="E43">
        <v>19.5</v>
      </c>
      <c r="F43">
        <f t="shared" si="1"/>
        <v>14.360358249635702</v>
      </c>
    </row>
    <row r="44" spans="1:6" x14ac:dyDescent="0.2">
      <c r="A44" t="s">
        <v>81</v>
      </c>
      <c r="B44">
        <v>5</v>
      </c>
      <c r="C44">
        <v>4</v>
      </c>
      <c r="D44">
        <f t="shared" si="0"/>
        <v>19.634954084936208</v>
      </c>
      <c r="E44">
        <v>25.6</v>
      </c>
      <c r="F44">
        <f t="shared" si="1"/>
        <v>12.566370614359172</v>
      </c>
    </row>
  </sheetData>
  <sheetProtection password="9BF7" sheet="1" objects="1" scenarios="1" selectLockedCells="1" selectUnlockedCells="1"/>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E15"/>
  <sheetViews>
    <sheetView workbookViewId="0">
      <selection activeCell="D19" sqref="D19"/>
    </sheetView>
  </sheetViews>
  <sheetFormatPr defaultRowHeight="12.75" x14ac:dyDescent="0.2"/>
  <sheetData>
    <row r="2" spans="2:5" x14ac:dyDescent="0.2">
      <c r="B2" t="s">
        <v>42</v>
      </c>
      <c r="C2" t="s">
        <v>43</v>
      </c>
      <c r="E2" t="s">
        <v>126</v>
      </c>
    </row>
    <row r="3" spans="2:5" x14ac:dyDescent="0.2">
      <c r="B3">
        <v>1</v>
      </c>
      <c r="C3">
        <v>3</v>
      </c>
      <c r="E3">
        <v>2</v>
      </c>
    </row>
    <row r="4" spans="2:5" x14ac:dyDescent="0.2">
      <c r="B4">
        <v>1.25</v>
      </c>
      <c r="C4">
        <v>3.25</v>
      </c>
      <c r="E4">
        <v>4</v>
      </c>
    </row>
    <row r="5" spans="2:5" x14ac:dyDescent="0.2">
      <c r="B5">
        <v>1.5</v>
      </c>
      <c r="C5">
        <v>3.5</v>
      </c>
    </row>
    <row r="6" spans="2:5" x14ac:dyDescent="0.2">
      <c r="B6">
        <v>1.75</v>
      </c>
      <c r="C6">
        <v>3.75</v>
      </c>
    </row>
    <row r="7" spans="2:5" x14ac:dyDescent="0.2">
      <c r="B7">
        <v>2</v>
      </c>
      <c r="C7">
        <v>4</v>
      </c>
    </row>
    <row r="8" spans="2:5" x14ac:dyDescent="0.2">
      <c r="B8">
        <v>2.25</v>
      </c>
      <c r="C8">
        <v>4.25</v>
      </c>
    </row>
    <row r="9" spans="2:5" x14ac:dyDescent="0.2">
      <c r="B9">
        <v>2.5</v>
      </c>
      <c r="C9">
        <v>4.5</v>
      </c>
    </row>
    <row r="10" spans="2:5" x14ac:dyDescent="0.2">
      <c r="B10">
        <v>2.75</v>
      </c>
      <c r="C10">
        <v>4.75</v>
      </c>
    </row>
    <row r="11" spans="2:5" x14ac:dyDescent="0.2">
      <c r="B11">
        <v>3</v>
      </c>
      <c r="C11">
        <v>5</v>
      </c>
    </row>
    <row r="12" spans="2:5" x14ac:dyDescent="0.2">
      <c r="B12">
        <v>3.25</v>
      </c>
      <c r="C12">
        <v>5.25</v>
      </c>
    </row>
    <row r="13" spans="2:5" x14ac:dyDescent="0.2">
      <c r="B13">
        <v>3.5</v>
      </c>
      <c r="C13">
        <v>5.5</v>
      </c>
    </row>
    <row r="14" spans="2:5" x14ac:dyDescent="0.2">
      <c r="B14">
        <v>3.75</v>
      </c>
      <c r="C14">
        <v>5.75</v>
      </c>
    </row>
    <row r="15" spans="2:5" x14ac:dyDescent="0.2">
      <c r="B15">
        <v>4</v>
      </c>
      <c r="C15">
        <v>6</v>
      </c>
    </row>
  </sheetData>
  <sheetProtection password="9BF7" sheet="1" objects="1" scenarios="1" selectLockedCells="1" selectUnlockedCell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31</vt:i4>
      </vt:variant>
    </vt:vector>
  </HeadingPairs>
  <TitlesOfParts>
    <vt:vector size="34" baseType="lpstr">
      <vt:lpstr>Hang-Off Worksheet</vt:lpstr>
      <vt:lpstr>Tubing Info</vt:lpstr>
      <vt:lpstr>Jack Cylinder Info</vt:lpstr>
      <vt:lpstr>A</vt:lpstr>
      <vt:lpstr>Cc</vt:lpstr>
      <vt:lpstr>Cylinder</vt:lpstr>
      <vt:lpstr>E</vt:lpstr>
      <vt:lpstr>Fb</vt:lpstr>
      <vt:lpstr>Fp</vt:lpstr>
      <vt:lpstr>friction</vt:lpstr>
      <vt:lpstr>Fs</vt:lpstr>
      <vt:lpstr>Fy</vt:lpstr>
      <vt:lpstr>grade</vt:lpstr>
      <vt:lpstr>I</vt:lpstr>
      <vt:lpstr>ID</vt:lpstr>
      <vt:lpstr>K</vt:lpstr>
      <vt:lpstr>Legs</vt:lpstr>
      <vt:lpstr>Ls</vt:lpstr>
      <vt:lpstr>OD</vt:lpstr>
      <vt:lpstr>pipe</vt:lpstr>
      <vt:lpstr>pipebig</vt:lpstr>
      <vt:lpstr>pipenew</vt:lpstr>
      <vt:lpstr>pipenew2</vt:lpstr>
      <vt:lpstr>rg</vt:lpstr>
      <vt:lpstr>Rn</vt:lpstr>
      <vt:lpstr>Rod</vt:lpstr>
      <vt:lpstr>Sf</vt:lpstr>
      <vt:lpstr>Sn</vt:lpstr>
      <vt:lpstr>Sw</vt:lpstr>
      <vt:lpstr>t</vt:lpstr>
      <vt:lpstr>Unit</vt:lpstr>
      <vt:lpstr>Wp</vt:lpstr>
      <vt:lpstr>Wt</vt:lpstr>
      <vt:lpstr>yes</vt:lpstr>
    </vt:vector>
  </TitlesOfParts>
  <Company>SNUBCO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Tufts</dc:creator>
  <cp:lastModifiedBy>Shawn McKinnon</cp:lastModifiedBy>
  <cp:lastPrinted>2013-09-16T17:02:39Z</cp:lastPrinted>
  <dcterms:created xsi:type="dcterms:W3CDTF">2004-06-11T15:48:39Z</dcterms:created>
  <dcterms:modified xsi:type="dcterms:W3CDTF">2013-09-16T17:02:48Z</dcterms:modified>
</cp:coreProperties>
</file>